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comments5.xml" ContentType="application/vnd.openxmlformats-officedocument.spreadsheetml.comments+xml"/>
  <Override PartName="/xl/threadedComments/threadedComment4.xml" ContentType="application/vnd.ms-excel.threadedcomments+xml"/>
  <Override PartName="/xl/comments6.xml" ContentType="application/vnd.openxmlformats-officedocument.spreadsheetml.comments+xml"/>
  <Override PartName="/xl/threadedComments/threadedComment5.xml" ContentType="application/vnd.ms-excel.threadedcomments+xml"/>
  <Override PartName="/xl/comments7.xml" ContentType="application/vnd.openxmlformats-officedocument.spreadsheetml.comments+xml"/>
  <Override PartName="/xl/threadedComments/threadedComment6.xml" ContentType="application/vnd.ms-excel.threadedcomments+xml"/>
  <Override PartName="/xl/comments8.xml" ContentType="application/vnd.openxmlformats-officedocument.spreadsheetml.comments+xml"/>
  <Override PartName="/xl/threadedComments/threadedComment7.xml" ContentType="application/vnd.ms-excel.threadedcomments+xml"/>
  <Override PartName="/xl/comments9.xml" ContentType="application/vnd.openxmlformats-officedocument.spreadsheetml.comments+xml"/>
  <Override PartName="/xl/threadedComments/threadedComment8.xml" ContentType="application/vnd.ms-excel.threaded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threadedComments/threadedComment9.xml" ContentType="application/vnd.ms-excel.threadedcomments+xml"/>
  <Override PartName="/xl/comments13.xml" ContentType="application/vnd.openxmlformats-officedocument.spreadsheetml.comments+xml"/>
  <Override PartName="/xl/threadedComments/threadedComment10.xml" ContentType="application/vnd.ms-excel.threaded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threadedComments/threadedComment1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illwoolsey/Dropbox (FiveTwo)/FiveTwo Team Folder/StartNew/Access &amp; Advanced (On Demand)/Curriculum Materials/Lesson Intro and Docs/13 Tools &amp; Docs/FUND::"/>
    </mc:Choice>
  </mc:AlternateContent>
  <xr:revisionPtr revIDLastSave="0" documentId="13_ncr:1_{0D003DA0-6F7C-5146-973B-9DDDB886B7DE}" xr6:coauthVersionLast="46" xr6:coauthVersionMax="46" xr10:uidLastSave="{00000000-0000-0000-0000-000000000000}"/>
  <bookViews>
    <workbookView xWindow="38420" yWindow="600" windowWidth="38380" windowHeight="21100" activeTab="11" xr2:uid="{00000000-000D-0000-FFFF-FFFF00000000}"/>
  </bookViews>
  <sheets>
    <sheet name="No add staff No NJ" sheetId="4" state="hidden" r:id="rId1"/>
    <sheet name="Target" sheetId="17" state="hidden" r:id="rId2"/>
    <sheet name="100% Target" sheetId="27" state="hidden" r:id="rId3"/>
    <sheet name="75% Target" sheetId="24" state="hidden" r:id="rId4"/>
    <sheet name="50% Target" sheetId="25" state="hidden" r:id="rId5"/>
    <sheet name="Full Staff Budget" sheetId="36" state="hidden" r:id="rId6"/>
    <sheet name="2022 Full Staff" sheetId="29" state="hidden" r:id="rId7"/>
    <sheet name="Assumptions" sheetId="30" state="hidden" r:id="rId8"/>
    <sheet name=" Lean Staff Budget" sheetId="32" state="hidden" r:id="rId9"/>
    <sheet name="Lean Assumptions" sheetId="33" state="hidden" r:id="rId10"/>
    <sheet name="2021 Forecast - Revised" sheetId="43" state="hidden" r:id="rId11"/>
    <sheet name="Annual Forecast" sheetId="35" r:id="rId12"/>
    <sheet name="Annual Budget)" sheetId="44" r:id="rId13"/>
    <sheet name="2021 Forecast - HB no Summits b" sheetId="41" state="hidden" r:id="rId14"/>
    <sheet name="2021 Forecast - No HB or Summit" sheetId="42" state="hidden" r:id="rId15"/>
    <sheet name="Payroll Worksheet" sheetId="14" state="hidden" r:id="rId16"/>
    <sheet name="StartNew Access &amp; Advanced" sheetId="21" state="hidden" r:id="rId17"/>
    <sheet name="StartNew Virtual" sheetId="19" state="hidden" r:id="rId18"/>
    <sheet name="Dream Total" sheetId="11" state="hidden" r:id="rId19"/>
    <sheet name="Partner churches" sheetId="16" state="hidden" r:id="rId20"/>
    <sheet name="District President Retreat" sheetId="15" state="hidden" r:id="rId21"/>
    <sheet name="Staff Roles" sheetId="18" state="hidden" r:id="rId22"/>
    <sheet name="Compared Years" sheetId="5" state="hidden" r:id="rId23"/>
    <sheet name="StartNew Revenue &amp; Costs" sheetId="2" state="hidden" r:id="rId24"/>
    <sheet name="Coaching Charge" sheetId="20" state="hidden" r:id="rId25"/>
    <sheet name="SN Teams" sheetId="7" state="hidden" r:id="rId26"/>
    <sheet name="Dream Team" sheetId="10" state="hidden" r:id="rId27"/>
  </sheets>
  <definedNames>
    <definedName name="_xlnm.Print_Titles" localSheetId="8">' Lean Staff Budget'!$1:$2</definedName>
    <definedName name="_xlnm.Print_Titles" localSheetId="2">'100% Target'!$1:$2</definedName>
    <definedName name="_xlnm.Print_Titles" localSheetId="13">'2021 Forecast - HB no Summits b'!$1:$2</definedName>
    <definedName name="_xlnm.Print_Titles" localSheetId="14">'2021 Forecast - No HB or Summit'!$1:$2</definedName>
    <definedName name="_xlnm.Print_Titles" localSheetId="10">'2021 Forecast - Revised'!$1:$2</definedName>
    <definedName name="_xlnm.Print_Titles" localSheetId="6">'2022 Full Staff'!$1:$2</definedName>
    <definedName name="_xlnm.Print_Titles" localSheetId="4">'50% Target'!$1:$2</definedName>
    <definedName name="_xlnm.Print_Titles" localSheetId="3">'75% Target'!$1:$2</definedName>
    <definedName name="_xlnm.Print_Titles" localSheetId="12">'Annual Budget)'!$1:$2</definedName>
    <definedName name="_xlnm.Print_Titles" localSheetId="11">'Annual Forecast'!$1:$2</definedName>
    <definedName name="_xlnm.Print_Titles" localSheetId="5">'Full Staff Budget'!$1:$2</definedName>
    <definedName name="_xlnm.Print_Titles" localSheetId="1">Target!$1:$2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44" l="1"/>
  <c r="D72" i="44"/>
  <c r="O70" i="44"/>
  <c r="O72" i="44" s="1"/>
  <c r="M70" i="44"/>
  <c r="M72" i="44" s="1"/>
  <c r="L70" i="44"/>
  <c r="L72" i="44" s="1"/>
  <c r="K70" i="44"/>
  <c r="K72" i="44" s="1"/>
  <c r="J70" i="44"/>
  <c r="J72" i="44" s="1"/>
  <c r="I70" i="44"/>
  <c r="I72" i="44" s="1"/>
  <c r="H70" i="44"/>
  <c r="H72" i="44" s="1"/>
  <c r="G70" i="44"/>
  <c r="G72" i="44" s="1"/>
  <c r="F70" i="44"/>
  <c r="E70" i="44"/>
  <c r="D70" i="44"/>
  <c r="C70" i="44"/>
  <c r="C72" i="44" s="1"/>
  <c r="B70" i="44"/>
  <c r="B72" i="44" s="1"/>
  <c r="N69" i="44"/>
  <c r="P69" i="44" s="1"/>
  <c r="N68" i="44"/>
  <c r="P68" i="44" s="1"/>
  <c r="P67" i="44"/>
  <c r="N67" i="44"/>
  <c r="P66" i="44"/>
  <c r="N66" i="44"/>
  <c r="P65" i="44"/>
  <c r="P70" i="44" s="1"/>
  <c r="N65" i="44"/>
  <c r="O62" i="44"/>
  <c r="M62" i="44"/>
  <c r="L62" i="44"/>
  <c r="K62" i="44"/>
  <c r="J62" i="44"/>
  <c r="I62" i="44"/>
  <c r="H62" i="44"/>
  <c r="G62" i="44"/>
  <c r="F62" i="44"/>
  <c r="E62" i="44"/>
  <c r="D62" i="44"/>
  <c r="C62" i="44"/>
  <c r="B62" i="44"/>
  <c r="N62" i="44" s="1"/>
  <c r="N61" i="44"/>
  <c r="P61" i="44" s="1"/>
  <c r="N60" i="44"/>
  <c r="P60" i="44" s="1"/>
  <c r="N59" i="44"/>
  <c r="P59" i="44" s="1"/>
  <c r="P56" i="44"/>
  <c r="E56" i="44"/>
  <c r="C56" i="44"/>
  <c r="P55" i="44"/>
  <c r="M55" i="44"/>
  <c r="L55" i="44"/>
  <c r="J55" i="44"/>
  <c r="I55" i="44"/>
  <c r="H55" i="44"/>
  <c r="G55" i="44"/>
  <c r="F55" i="44"/>
  <c r="E55" i="44"/>
  <c r="D55" i="44"/>
  <c r="C55" i="44"/>
  <c r="B55" i="44"/>
  <c r="P54" i="44"/>
  <c r="E54" i="44"/>
  <c r="D54" i="44"/>
  <c r="D56" i="44" s="1"/>
  <c r="C54" i="44"/>
  <c r="B54" i="44"/>
  <c r="B56" i="44" s="1"/>
  <c r="P53" i="44"/>
  <c r="P52" i="44"/>
  <c r="O51" i="44"/>
  <c r="M51" i="44"/>
  <c r="L51" i="44"/>
  <c r="K51" i="44"/>
  <c r="J51" i="44"/>
  <c r="I51" i="44"/>
  <c r="N51" i="44" s="1"/>
  <c r="H51" i="44"/>
  <c r="G51" i="44"/>
  <c r="F51" i="44"/>
  <c r="E51" i="44"/>
  <c r="D51" i="44"/>
  <c r="C51" i="44"/>
  <c r="B51" i="44"/>
  <c r="N50" i="44"/>
  <c r="P50" i="44" s="1"/>
  <c r="P49" i="44"/>
  <c r="N49" i="44"/>
  <c r="P48" i="44"/>
  <c r="P51" i="44" s="1"/>
  <c r="N48" i="44"/>
  <c r="O45" i="44"/>
  <c r="M45" i="44"/>
  <c r="L45" i="44"/>
  <c r="K45" i="44"/>
  <c r="J45" i="44"/>
  <c r="I45" i="44"/>
  <c r="H45" i="44"/>
  <c r="G45" i="44"/>
  <c r="F45" i="44"/>
  <c r="F72" i="44" s="1"/>
  <c r="E45" i="44"/>
  <c r="D45" i="44"/>
  <c r="C45" i="44"/>
  <c r="B45" i="44"/>
  <c r="N45" i="44" s="1"/>
  <c r="N44" i="44"/>
  <c r="P44" i="44" s="1"/>
  <c r="N43" i="44"/>
  <c r="P43" i="44" s="1"/>
  <c r="N42" i="44"/>
  <c r="P42" i="44" s="1"/>
  <c r="N41" i="44"/>
  <c r="P41" i="44" s="1"/>
  <c r="N40" i="44"/>
  <c r="P40" i="44" s="1"/>
  <c r="O37" i="44"/>
  <c r="M37" i="44"/>
  <c r="L37" i="44"/>
  <c r="K37" i="44"/>
  <c r="J37" i="44"/>
  <c r="I37" i="44"/>
  <c r="H37" i="44"/>
  <c r="G37" i="44"/>
  <c r="N37" i="44" s="1"/>
  <c r="F37" i="44"/>
  <c r="E37" i="44"/>
  <c r="D37" i="44"/>
  <c r="C37" i="44"/>
  <c r="B37" i="44"/>
  <c r="G36" i="44"/>
  <c r="N36" i="44" s="1"/>
  <c r="P36" i="44" s="1"/>
  <c r="N35" i="44"/>
  <c r="P35" i="44" s="1"/>
  <c r="N34" i="44"/>
  <c r="P34" i="44" s="1"/>
  <c r="N33" i="44"/>
  <c r="P33" i="44" s="1"/>
  <c r="N32" i="44"/>
  <c r="P32" i="44" s="1"/>
  <c r="N31" i="44"/>
  <c r="P31" i="44" s="1"/>
  <c r="N30" i="44"/>
  <c r="P30" i="44" s="1"/>
  <c r="O26" i="44"/>
  <c r="O74" i="44" s="1"/>
  <c r="O24" i="44"/>
  <c r="I24" i="44"/>
  <c r="I26" i="44" s="1"/>
  <c r="I74" i="44" s="1"/>
  <c r="H24" i="44"/>
  <c r="G24" i="44"/>
  <c r="G26" i="44" s="1"/>
  <c r="F24" i="44"/>
  <c r="F26" i="44" s="1"/>
  <c r="E24" i="44"/>
  <c r="E26" i="44" s="1"/>
  <c r="E74" i="44" s="1"/>
  <c r="D24" i="44"/>
  <c r="D26" i="44" s="1"/>
  <c r="D74" i="44" s="1"/>
  <c r="N23" i="44"/>
  <c r="P23" i="44" s="1"/>
  <c r="N22" i="44"/>
  <c r="P22" i="44" s="1"/>
  <c r="M21" i="44"/>
  <c r="M24" i="44" s="1"/>
  <c r="L21" i="44"/>
  <c r="L24" i="44" s="1"/>
  <c r="L26" i="44" s="1"/>
  <c r="L74" i="44" s="1"/>
  <c r="K21" i="44"/>
  <c r="K24" i="44" s="1"/>
  <c r="K26" i="44" s="1"/>
  <c r="K74" i="44" s="1"/>
  <c r="J21" i="44"/>
  <c r="J24" i="44" s="1"/>
  <c r="J26" i="44" s="1"/>
  <c r="J74" i="44" s="1"/>
  <c r="I21" i="44"/>
  <c r="H21" i="44"/>
  <c r="G21" i="44"/>
  <c r="F21" i="44"/>
  <c r="C21" i="44"/>
  <c r="C24" i="44" s="1"/>
  <c r="C26" i="44" s="1"/>
  <c r="C74" i="44" s="1"/>
  <c r="B21" i="44"/>
  <c r="B24" i="44" s="1"/>
  <c r="O18" i="44"/>
  <c r="K18" i="44"/>
  <c r="J18" i="44"/>
  <c r="I18" i="44"/>
  <c r="H18" i="44"/>
  <c r="G18" i="44"/>
  <c r="F18" i="44"/>
  <c r="E18" i="44"/>
  <c r="D18" i="44"/>
  <c r="C18" i="44"/>
  <c r="B18" i="44"/>
  <c r="M17" i="44"/>
  <c r="N17" i="44" s="1"/>
  <c r="P17" i="44" s="1"/>
  <c r="L17" i="44"/>
  <c r="K17" i="44"/>
  <c r="G17" i="44"/>
  <c r="E17" i="44"/>
  <c r="D17" i="44"/>
  <c r="C17" i="44"/>
  <c r="M16" i="44"/>
  <c r="L16" i="44"/>
  <c r="L18" i="44" s="1"/>
  <c r="K16" i="44"/>
  <c r="N16" i="44" s="1"/>
  <c r="P16" i="44" s="1"/>
  <c r="P15" i="44"/>
  <c r="N15" i="44"/>
  <c r="P14" i="44"/>
  <c r="N14" i="44"/>
  <c r="M13" i="44"/>
  <c r="N13" i="44" s="1"/>
  <c r="P13" i="44" s="1"/>
  <c r="O10" i="44"/>
  <c r="M10" i="44"/>
  <c r="L10" i="44"/>
  <c r="K10" i="44"/>
  <c r="G10" i="44"/>
  <c r="F10" i="44"/>
  <c r="E10" i="44"/>
  <c r="D10" i="44"/>
  <c r="C10" i="44"/>
  <c r="B10" i="44"/>
  <c r="N10" i="44" s="1"/>
  <c r="P9" i="44"/>
  <c r="N9" i="44"/>
  <c r="J8" i="44"/>
  <c r="N8" i="44" s="1"/>
  <c r="P8" i="44" s="1"/>
  <c r="N7" i="44"/>
  <c r="P7" i="44" s="1"/>
  <c r="M6" i="44"/>
  <c r="L6" i="44"/>
  <c r="K6" i="44"/>
  <c r="J6" i="44"/>
  <c r="J10" i="44" s="1"/>
  <c r="I6" i="44"/>
  <c r="I10" i="44" s="1"/>
  <c r="H6" i="44"/>
  <c r="H10" i="44" s="1"/>
  <c r="G6" i="44"/>
  <c r="F6" i="44"/>
  <c r="E6" i="44"/>
  <c r="D6" i="44"/>
  <c r="C6" i="44"/>
  <c r="K21" i="35"/>
  <c r="N65" i="35"/>
  <c r="P65" i="35" s="1"/>
  <c r="N66" i="35"/>
  <c r="P66" i="35" s="1"/>
  <c r="N67" i="35"/>
  <c r="P67" i="35" s="1"/>
  <c r="N68" i="35"/>
  <c r="P68" i="35" s="1"/>
  <c r="N69" i="35"/>
  <c r="P69" i="35" s="1"/>
  <c r="N40" i="35"/>
  <c r="P40" i="35" s="1"/>
  <c r="F18" i="35"/>
  <c r="H18" i="35"/>
  <c r="I18" i="35"/>
  <c r="J18" i="35"/>
  <c r="N14" i="35"/>
  <c r="P14" i="35" s="1"/>
  <c r="N15" i="35"/>
  <c r="P15" i="35" s="1"/>
  <c r="N42" i="35"/>
  <c r="P42" i="35" s="1"/>
  <c r="D70" i="35"/>
  <c r="D62" i="35"/>
  <c r="D55" i="35"/>
  <c r="D51" i="35"/>
  <c r="D45" i="35"/>
  <c r="D37" i="35"/>
  <c r="D24" i="35"/>
  <c r="D17" i="35"/>
  <c r="D18" i="35" s="1"/>
  <c r="D6" i="35"/>
  <c r="D10" i="43"/>
  <c r="P137" i="43"/>
  <c r="S134" i="43"/>
  <c r="S132" i="43"/>
  <c r="R131" i="43"/>
  <c r="O131" i="43"/>
  <c r="S131" i="43" s="1"/>
  <c r="J131" i="43"/>
  <c r="I131" i="43"/>
  <c r="H131" i="43"/>
  <c r="G131" i="43"/>
  <c r="F131" i="43"/>
  <c r="E131" i="43"/>
  <c r="D131" i="43"/>
  <c r="C131" i="43"/>
  <c r="B131" i="43"/>
  <c r="S130" i="43"/>
  <c r="S129" i="43"/>
  <c r="M129" i="43"/>
  <c r="M131" i="43" s="1"/>
  <c r="L129" i="43"/>
  <c r="K129" i="43"/>
  <c r="K131" i="43" s="1"/>
  <c r="J129" i="43"/>
  <c r="S128" i="43"/>
  <c r="M128" i="43"/>
  <c r="L128" i="43"/>
  <c r="L131" i="43" s="1"/>
  <c r="K128" i="43"/>
  <c r="J128" i="43"/>
  <c r="N128" i="43" s="1"/>
  <c r="Q128" i="43" s="1"/>
  <c r="S127" i="43"/>
  <c r="N127" i="43"/>
  <c r="S126" i="43"/>
  <c r="N126" i="43"/>
  <c r="S125" i="43"/>
  <c r="N125" i="43"/>
  <c r="S124" i="43"/>
  <c r="N124" i="43"/>
  <c r="S123" i="43"/>
  <c r="N123" i="43"/>
  <c r="S122" i="43"/>
  <c r="N122" i="43"/>
  <c r="S121" i="43"/>
  <c r="N121" i="43"/>
  <c r="S120" i="43"/>
  <c r="N120" i="43"/>
  <c r="S119" i="43"/>
  <c r="N119" i="43"/>
  <c r="S118" i="43"/>
  <c r="N118" i="43"/>
  <c r="Q118" i="43" s="1"/>
  <c r="S117" i="43"/>
  <c r="N117" i="43"/>
  <c r="Q117" i="43" s="1"/>
  <c r="S116" i="43"/>
  <c r="S115" i="43"/>
  <c r="S114" i="43"/>
  <c r="M114" i="43"/>
  <c r="L114" i="43"/>
  <c r="K114" i="43"/>
  <c r="J114" i="43"/>
  <c r="I114" i="43"/>
  <c r="H114" i="43"/>
  <c r="G114" i="43"/>
  <c r="F114" i="43"/>
  <c r="E114" i="43"/>
  <c r="D114" i="43"/>
  <c r="C114" i="43"/>
  <c r="B114" i="43"/>
  <c r="N114" i="43" s="1"/>
  <c r="Q114" i="43" s="1"/>
  <c r="S112" i="43"/>
  <c r="N112" i="43"/>
  <c r="Q112" i="43" s="1"/>
  <c r="S111" i="43"/>
  <c r="S110" i="43"/>
  <c r="S109" i="43"/>
  <c r="R108" i="43"/>
  <c r="O108" i="43"/>
  <c r="S108" i="43" s="1"/>
  <c r="M108" i="43"/>
  <c r="L108" i="43"/>
  <c r="K108" i="43"/>
  <c r="J108" i="43"/>
  <c r="I108" i="43"/>
  <c r="H108" i="43"/>
  <c r="G108" i="43"/>
  <c r="F108" i="43"/>
  <c r="E108" i="43"/>
  <c r="D108" i="43"/>
  <c r="C108" i="43"/>
  <c r="B108" i="43"/>
  <c r="N108" i="43" s="1"/>
  <c r="Q108" i="43" s="1"/>
  <c r="S107" i="43"/>
  <c r="N107" i="43"/>
  <c r="N106" i="43"/>
  <c r="S105" i="43"/>
  <c r="N105" i="43"/>
  <c r="S104" i="43"/>
  <c r="N104" i="43"/>
  <c r="S103" i="43"/>
  <c r="N103" i="43"/>
  <c r="Q103" i="43" s="1"/>
  <c r="S102" i="43"/>
  <c r="Q102" i="43"/>
  <c r="N102" i="43"/>
  <c r="S101" i="43"/>
  <c r="N101" i="43"/>
  <c r="Q101" i="43" s="1"/>
  <c r="S100" i="43"/>
  <c r="Q100" i="43"/>
  <c r="N100" i="43"/>
  <c r="S99" i="43"/>
  <c r="Q99" i="43"/>
  <c r="S98" i="43"/>
  <c r="N98" i="43"/>
  <c r="S97" i="43"/>
  <c r="N97" i="43"/>
  <c r="S96" i="43"/>
  <c r="N96" i="43"/>
  <c r="S95" i="43"/>
  <c r="N95" i="43"/>
  <c r="Q95" i="43" s="1"/>
  <c r="S94" i="43"/>
  <c r="N94" i="43"/>
  <c r="Q94" i="43" s="1"/>
  <c r="S93" i="43"/>
  <c r="S92" i="43"/>
  <c r="S91" i="43"/>
  <c r="B91" i="43"/>
  <c r="S90" i="43"/>
  <c r="M90" i="43"/>
  <c r="L90" i="43"/>
  <c r="J90" i="43"/>
  <c r="I90" i="43"/>
  <c r="H90" i="43"/>
  <c r="G90" i="43"/>
  <c r="F90" i="43"/>
  <c r="E90" i="43"/>
  <c r="D90" i="43"/>
  <c r="C90" i="43"/>
  <c r="B90" i="43"/>
  <c r="S89" i="43"/>
  <c r="D89" i="43"/>
  <c r="F89" i="43" s="1"/>
  <c r="C89" i="43"/>
  <c r="E89" i="43" s="1"/>
  <c r="B89" i="43"/>
  <c r="S88" i="43"/>
  <c r="S87" i="43"/>
  <c r="R86" i="43"/>
  <c r="O86" i="43"/>
  <c r="S86" i="43" s="1"/>
  <c r="M86" i="43"/>
  <c r="L86" i="43"/>
  <c r="K86" i="43"/>
  <c r="J86" i="43"/>
  <c r="I86" i="43"/>
  <c r="H86" i="43"/>
  <c r="G86" i="43"/>
  <c r="F86" i="43"/>
  <c r="E86" i="43"/>
  <c r="D86" i="43"/>
  <c r="C86" i="43"/>
  <c r="B86" i="43"/>
  <c r="N86" i="43" s="1"/>
  <c r="Q86" i="43" s="1"/>
  <c r="S85" i="43"/>
  <c r="N85" i="43"/>
  <c r="Q85" i="43" s="1"/>
  <c r="S84" i="43"/>
  <c r="N84" i="43"/>
  <c r="Q84" i="43" s="1"/>
  <c r="S83" i="43"/>
  <c r="N83" i="43"/>
  <c r="Q83" i="43" s="1"/>
  <c r="S82" i="43"/>
  <c r="N82" i="43"/>
  <c r="Q82" i="43" s="1"/>
  <c r="S81" i="43"/>
  <c r="N81" i="43"/>
  <c r="Q81" i="43" s="1"/>
  <c r="S80" i="43"/>
  <c r="N80" i="43"/>
  <c r="Q80" i="43" s="1"/>
  <c r="S79" i="43"/>
  <c r="N79" i="43"/>
  <c r="Q79" i="43" s="1"/>
  <c r="S78" i="43"/>
  <c r="S77" i="43"/>
  <c r="O76" i="43"/>
  <c r="S76" i="43" s="1"/>
  <c r="M76" i="43"/>
  <c r="L76" i="43"/>
  <c r="K76" i="43"/>
  <c r="J76" i="43"/>
  <c r="I76" i="43"/>
  <c r="H76" i="43"/>
  <c r="G76" i="43"/>
  <c r="F76" i="43"/>
  <c r="E76" i="43"/>
  <c r="D76" i="43"/>
  <c r="C76" i="43"/>
  <c r="C133" i="43" s="1"/>
  <c r="B76" i="43"/>
  <c r="B133" i="43" s="1"/>
  <c r="S75" i="43"/>
  <c r="N75" i="43"/>
  <c r="Q75" i="43" s="1"/>
  <c r="C75" i="43"/>
  <c r="S74" i="43"/>
  <c r="N74" i="43"/>
  <c r="Q74" i="43" s="1"/>
  <c r="S73" i="43"/>
  <c r="N73" i="43"/>
  <c r="Q73" i="43" s="1"/>
  <c r="S72" i="43"/>
  <c r="N72" i="43"/>
  <c r="Q72" i="43" s="1"/>
  <c r="S71" i="43"/>
  <c r="Q71" i="43"/>
  <c r="N71" i="43"/>
  <c r="S70" i="43"/>
  <c r="N70" i="43"/>
  <c r="S69" i="43"/>
  <c r="N69" i="43"/>
  <c r="S68" i="43"/>
  <c r="N68" i="43"/>
  <c r="N67" i="43"/>
  <c r="S66" i="43"/>
  <c r="N66" i="43"/>
  <c r="S65" i="43"/>
  <c r="N65" i="43"/>
  <c r="S64" i="43"/>
  <c r="N64" i="43"/>
  <c r="S63" i="43"/>
  <c r="Q63" i="43"/>
  <c r="C63" i="43"/>
  <c r="S62" i="43"/>
  <c r="S61" i="43"/>
  <c r="R60" i="43"/>
  <c r="S60" i="43" s="1"/>
  <c r="O60" i="43"/>
  <c r="M60" i="43"/>
  <c r="L60" i="43"/>
  <c r="K60" i="43"/>
  <c r="J60" i="43"/>
  <c r="J133" i="43" s="1"/>
  <c r="I60" i="43"/>
  <c r="I133" i="43" s="1"/>
  <c r="H60" i="43"/>
  <c r="H133" i="43" s="1"/>
  <c r="G60" i="43"/>
  <c r="G133" i="43" s="1"/>
  <c r="F60" i="43"/>
  <c r="F133" i="43" s="1"/>
  <c r="E60" i="43"/>
  <c r="E133" i="43" s="1"/>
  <c r="D60" i="43"/>
  <c r="C60" i="43"/>
  <c r="B60" i="43"/>
  <c r="S59" i="43"/>
  <c r="G59" i="43"/>
  <c r="N59" i="43" s="1"/>
  <c r="Q59" i="43" s="1"/>
  <c r="S58" i="43"/>
  <c r="N58" i="43"/>
  <c r="Q58" i="43" s="1"/>
  <c r="S57" i="43"/>
  <c r="N57" i="43"/>
  <c r="Q57" i="43" s="1"/>
  <c r="S56" i="43"/>
  <c r="Q56" i="43"/>
  <c r="N56" i="43"/>
  <c r="S55" i="43"/>
  <c r="N55" i="43"/>
  <c r="Q55" i="43" s="1"/>
  <c r="S54" i="43"/>
  <c r="N54" i="43"/>
  <c r="Q54" i="43" s="1"/>
  <c r="S53" i="43"/>
  <c r="N53" i="43"/>
  <c r="Q53" i="43" s="1"/>
  <c r="S52" i="43"/>
  <c r="N52" i="43"/>
  <c r="Q52" i="43" s="1"/>
  <c r="S51" i="43"/>
  <c r="S50" i="43"/>
  <c r="S49" i="43"/>
  <c r="O48" i="43"/>
  <c r="S47" i="43"/>
  <c r="M47" i="43"/>
  <c r="L47" i="43"/>
  <c r="F47" i="43"/>
  <c r="E47" i="43"/>
  <c r="D47" i="43"/>
  <c r="C47" i="43"/>
  <c r="B47" i="43"/>
  <c r="N47" i="43" s="1"/>
  <c r="Q47" i="43" s="1"/>
  <c r="S46" i="43"/>
  <c r="N46" i="43"/>
  <c r="Q46" i="43" s="1"/>
  <c r="S45" i="43"/>
  <c r="R44" i="43"/>
  <c r="O44" i="43"/>
  <c r="S44" i="43" s="1"/>
  <c r="S43" i="43"/>
  <c r="M43" i="43"/>
  <c r="L43" i="43"/>
  <c r="K43" i="43"/>
  <c r="N43" i="43" s="1"/>
  <c r="Q43" i="43" s="1"/>
  <c r="J43" i="43"/>
  <c r="F43" i="43"/>
  <c r="E43" i="43"/>
  <c r="C43" i="43"/>
  <c r="C44" i="43" s="1"/>
  <c r="B43" i="43"/>
  <c r="S42" i="43"/>
  <c r="N42" i="43"/>
  <c r="S41" i="43"/>
  <c r="N41" i="43"/>
  <c r="Q41" i="43" s="1"/>
  <c r="S40" i="43"/>
  <c r="N40" i="43"/>
  <c r="S39" i="43"/>
  <c r="S38" i="43"/>
  <c r="N38" i="43"/>
  <c r="Q38" i="43" s="1"/>
  <c r="S37" i="43"/>
  <c r="N37" i="43"/>
  <c r="S36" i="43"/>
  <c r="M36" i="43"/>
  <c r="L36" i="43"/>
  <c r="K36" i="43"/>
  <c r="N36" i="43" s="1"/>
  <c r="Q36" i="43" s="1"/>
  <c r="J36" i="43"/>
  <c r="I36" i="43"/>
  <c r="H36" i="43"/>
  <c r="G36" i="43"/>
  <c r="F36" i="43"/>
  <c r="E36" i="43"/>
  <c r="S35" i="43"/>
  <c r="M35" i="43"/>
  <c r="M44" i="43" s="1"/>
  <c r="L35" i="43"/>
  <c r="L44" i="43" s="1"/>
  <c r="K35" i="43"/>
  <c r="J35" i="43"/>
  <c r="J44" i="43" s="1"/>
  <c r="I35" i="43"/>
  <c r="I44" i="43" s="1"/>
  <c r="H35" i="43"/>
  <c r="H44" i="43" s="1"/>
  <c r="G35" i="43"/>
  <c r="G44" i="43" s="1"/>
  <c r="F35" i="43"/>
  <c r="F44" i="43" s="1"/>
  <c r="E35" i="43"/>
  <c r="E44" i="43" s="1"/>
  <c r="D44" i="43"/>
  <c r="B35" i="43"/>
  <c r="B44" i="43" s="1"/>
  <c r="S34" i="43"/>
  <c r="N34" i="43"/>
  <c r="S33" i="43"/>
  <c r="N33" i="43"/>
  <c r="S32" i="43"/>
  <c r="Q32" i="43"/>
  <c r="S31" i="43"/>
  <c r="Q31" i="43"/>
  <c r="N31" i="43"/>
  <c r="S30" i="43"/>
  <c r="N30" i="43"/>
  <c r="Q30" i="43" s="1"/>
  <c r="S29" i="43"/>
  <c r="N29" i="43"/>
  <c r="Q29" i="43" s="1"/>
  <c r="S28" i="43"/>
  <c r="N28" i="43"/>
  <c r="Q28" i="43" s="1"/>
  <c r="S27" i="43"/>
  <c r="N27" i="43"/>
  <c r="Q27" i="43" s="1"/>
  <c r="S26" i="43"/>
  <c r="N26" i="43"/>
  <c r="Q26" i="43" s="1"/>
  <c r="S25" i="43"/>
  <c r="S24" i="43"/>
  <c r="R23" i="43"/>
  <c r="R48" i="43" s="1"/>
  <c r="O23" i="43"/>
  <c r="M23" i="43"/>
  <c r="K23" i="43"/>
  <c r="J23" i="43"/>
  <c r="I23" i="43"/>
  <c r="H23" i="43"/>
  <c r="G23" i="43"/>
  <c r="F23" i="43"/>
  <c r="E23" i="43"/>
  <c r="D23" i="43"/>
  <c r="S22" i="43"/>
  <c r="N22" i="43"/>
  <c r="Q22" i="43" s="1"/>
  <c r="S21" i="43"/>
  <c r="N21" i="43"/>
  <c r="Q21" i="43" s="1"/>
  <c r="S20" i="43"/>
  <c r="N20" i="43"/>
  <c r="Q20" i="43" s="1"/>
  <c r="M20" i="43"/>
  <c r="L20" i="43"/>
  <c r="L23" i="43" s="1"/>
  <c r="K20" i="43"/>
  <c r="J20" i="43"/>
  <c r="I20" i="43"/>
  <c r="H20" i="43"/>
  <c r="G20" i="43"/>
  <c r="F20" i="43"/>
  <c r="C20" i="43"/>
  <c r="C23" i="43" s="1"/>
  <c r="B20" i="43"/>
  <c r="B23" i="43" s="1"/>
  <c r="S19" i="43"/>
  <c r="S18" i="43"/>
  <c r="R17" i="43"/>
  <c r="O17" i="43"/>
  <c r="S17" i="43" s="1"/>
  <c r="F17" i="43"/>
  <c r="D17" i="43"/>
  <c r="B17" i="43"/>
  <c r="S16" i="43"/>
  <c r="M16" i="43"/>
  <c r="L16" i="43"/>
  <c r="K16" i="43"/>
  <c r="J16" i="43"/>
  <c r="J17" i="43" s="1"/>
  <c r="I16" i="43"/>
  <c r="H16" i="43"/>
  <c r="N16" i="43" s="1"/>
  <c r="G16" i="43"/>
  <c r="E16" i="43"/>
  <c r="E17" i="43" s="1"/>
  <c r="D16" i="43"/>
  <c r="C16" i="43"/>
  <c r="S15" i="43"/>
  <c r="M15" i="43"/>
  <c r="M17" i="43" s="1"/>
  <c r="L15" i="43"/>
  <c r="L17" i="43" s="1"/>
  <c r="K15" i="43"/>
  <c r="K17" i="43" s="1"/>
  <c r="I15" i="43"/>
  <c r="I17" i="43" s="1"/>
  <c r="G15" i="43"/>
  <c r="G17" i="43" s="1"/>
  <c r="C15" i="43"/>
  <c r="N15" i="43" s="1"/>
  <c r="S14" i="43"/>
  <c r="N14" i="43"/>
  <c r="M14" i="43"/>
  <c r="S13" i="43"/>
  <c r="S12" i="43"/>
  <c r="R11" i="43"/>
  <c r="O11" i="43"/>
  <c r="S11" i="43" s="1"/>
  <c r="M11" i="43"/>
  <c r="L11" i="43"/>
  <c r="C11" i="43"/>
  <c r="B11" i="43"/>
  <c r="S10" i="43"/>
  <c r="N10" i="43"/>
  <c r="Q10" i="43" s="1"/>
  <c r="S9" i="43"/>
  <c r="N9" i="43"/>
  <c r="Q9" i="43" s="1"/>
  <c r="J9" i="43"/>
  <c r="S8" i="43"/>
  <c r="N8" i="43"/>
  <c r="Q8" i="43" s="1"/>
  <c r="S7" i="43"/>
  <c r="N7" i="43"/>
  <c r="Q7" i="43" s="1"/>
  <c r="S6" i="43"/>
  <c r="M6" i="43"/>
  <c r="L6" i="43"/>
  <c r="K6" i="43"/>
  <c r="K11" i="43" s="1"/>
  <c r="J6" i="43"/>
  <c r="J11" i="43" s="1"/>
  <c r="I6" i="43"/>
  <c r="I11" i="43" s="1"/>
  <c r="H6" i="43"/>
  <c r="H11" i="43" s="1"/>
  <c r="G6" i="43"/>
  <c r="G11" i="43" s="1"/>
  <c r="F6" i="43"/>
  <c r="F11" i="43" s="1"/>
  <c r="E6" i="43"/>
  <c r="E11" i="43" s="1"/>
  <c r="D6" i="43"/>
  <c r="N6" i="43" s="1"/>
  <c r="Q6" i="43" s="1"/>
  <c r="C6" i="43"/>
  <c r="S5" i="43"/>
  <c r="S4" i="43"/>
  <c r="P37" i="44" l="1"/>
  <c r="P18" i="44"/>
  <c r="B26" i="44"/>
  <c r="N24" i="44"/>
  <c r="F74" i="44"/>
  <c r="P62" i="44"/>
  <c r="G74" i="44"/>
  <c r="H26" i="44"/>
  <c r="H74" i="44" s="1"/>
  <c r="P45" i="44"/>
  <c r="P72" i="44" s="1"/>
  <c r="G54" i="44"/>
  <c r="N70" i="44"/>
  <c r="N72" i="44" s="1"/>
  <c r="M18" i="44"/>
  <c r="M26" i="44" s="1"/>
  <c r="M74" i="44" s="1"/>
  <c r="F54" i="44"/>
  <c r="N21" i="44"/>
  <c r="P21" i="44" s="1"/>
  <c r="P24" i="44" s="1"/>
  <c r="N6" i="44"/>
  <c r="P6" i="44" s="1"/>
  <c r="P10" i="44" s="1"/>
  <c r="D72" i="35"/>
  <c r="P70" i="35"/>
  <c r="L48" i="43"/>
  <c r="M48" i="43"/>
  <c r="D10" i="35"/>
  <c r="D26" i="35" s="1"/>
  <c r="N35" i="43"/>
  <c r="J48" i="43"/>
  <c r="J135" i="43" s="1"/>
  <c r="D133" i="43"/>
  <c r="N76" i="43"/>
  <c r="Q76" i="43" s="1"/>
  <c r="N60" i="43"/>
  <c r="Q60" i="43" s="1"/>
  <c r="L133" i="43"/>
  <c r="L135" i="43" s="1"/>
  <c r="E48" i="43"/>
  <c r="E135" i="43" s="1"/>
  <c r="K133" i="43"/>
  <c r="N44" i="43"/>
  <c r="Q44" i="43" s="1"/>
  <c r="G89" i="43"/>
  <c r="E91" i="43"/>
  <c r="G48" i="43"/>
  <c r="G135" i="43" s="1"/>
  <c r="N133" i="43"/>
  <c r="Q133" i="43" s="1"/>
  <c r="N131" i="43"/>
  <c r="Q131" i="43" s="1"/>
  <c r="F48" i="43"/>
  <c r="F135" i="43" s="1"/>
  <c r="F91" i="43"/>
  <c r="H89" i="43"/>
  <c r="I48" i="43"/>
  <c r="I135" i="43" s="1"/>
  <c r="N23" i="43"/>
  <c r="Q23" i="43" s="1"/>
  <c r="B48" i="43"/>
  <c r="O135" i="43"/>
  <c r="C91" i="43"/>
  <c r="O133" i="43"/>
  <c r="D91" i="43"/>
  <c r="K44" i="43"/>
  <c r="K48" i="43" s="1"/>
  <c r="N129" i="43"/>
  <c r="Q129" i="43" s="1"/>
  <c r="S23" i="43"/>
  <c r="R133" i="43"/>
  <c r="R135" i="43" s="1"/>
  <c r="S48" i="43"/>
  <c r="H17" i="43"/>
  <c r="H48" i="43" s="1"/>
  <c r="H135" i="43" s="1"/>
  <c r="M133" i="43"/>
  <c r="M135" i="43" s="1"/>
  <c r="C17" i="43"/>
  <c r="C48" i="43" s="1"/>
  <c r="C135" i="43" s="1"/>
  <c r="D11" i="43"/>
  <c r="D48" i="43" s="1"/>
  <c r="D135" i="43" s="1"/>
  <c r="P137" i="42"/>
  <c r="S134" i="42"/>
  <c r="S132" i="42"/>
  <c r="R131" i="42"/>
  <c r="O131" i="42"/>
  <c r="S131" i="42" s="1"/>
  <c r="J131" i="42"/>
  <c r="I131" i="42"/>
  <c r="H131" i="42"/>
  <c r="G131" i="42"/>
  <c r="F131" i="42"/>
  <c r="E131" i="42"/>
  <c r="D131" i="42"/>
  <c r="C131" i="42"/>
  <c r="B131" i="42"/>
  <c r="S130" i="42"/>
  <c r="S129" i="42"/>
  <c r="M129" i="42"/>
  <c r="M131" i="42" s="1"/>
  <c r="L129" i="42"/>
  <c r="K129" i="42"/>
  <c r="N129" i="42" s="1"/>
  <c r="Q129" i="42" s="1"/>
  <c r="J129" i="42"/>
  <c r="S128" i="42"/>
  <c r="M128" i="42"/>
  <c r="L128" i="42"/>
  <c r="L131" i="42" s="1"/>
  <c r="K128" i="42"/>
  <c r="K131" i="42" s="1"/>
  <c r="J128" i="42"/>
  <c r="N128" i="42" s="1"/>
  <c r="Q128" i="42" s="1"/>
  <c r="S127" i="42"/>
  <c r="N127" i="42"/>
  <c r="S126" i="42"/>
  <c r="N126" i="42"/>
  <c r="S125" i="42"/>
  <c r="N125" i="42"/>
  <c r="S124" i="42"/>
  <c r="N124" i="42"/>
  <c r="S123" i="42"/>
  <c r="N123" i="42"/>
  <c r="S122" i="42"/>
  <c r="N122" i="42"/>
  <c r="S121" i="42"/>
  <c r="N121" i="42"/>
  <c r="S120" i="42"/>
  <c r="N120" i="42"/>
  <c r="S119" i="42"/>
  <c r="N119" i="42"/>
  <c r="S118" i="42"/>
  <c r="N118" i="42"/>
  <c r="Q118" i="42" s="1"/>
  <c r="S117" i="42"/>
  <c r="N117" i="42"/>
  <c r="Q117" i="42" s="1"/>
  <c r="S116" i="42"/>
  <c r="S115" i="42"/>
  <c r="S114" i="42"/>
  <c r="M114" i="42"/>
  <c r="L114" i="42"/>
  <c r="K114" i="42"/>
  <c r="J114" i="42"/>
  <c r="I114" i="42"/>
  <c r="H114" i="42"/>
  <c r="G114" i="42"/>
  <c r="F114" i="42"/>
  <c r="E114" i="42"/>
  <c r="D114" i="42"/>
  <c r="C114" i="42"/>
  <c r="B114" i="42"/>
  <c r="N114" i="42" s="1"/>
  <c r="Q114" i="42" s="1"/>
  <c r="S112" i="42"/>
  <c r="Q112" i="42"/>
  <c r="N112" i="42"/>
  <c r="S111" i="42"/>
  <c r="S110" i="42"/>
  <c r="S109" i="42"/>
  <c r="R108" i="42"/>
  <c r="O108" i="42"/>
  <c r="S108" i="42" s="1"/>
  <c r="M108" i="42"/>
  <c r="L108" i="42"/>
  <c r="K108" i="42"/>
  <c r="J108" i="42"/>
  <c r="I108" i="42"/>
  <c r="H108" i="42"/>
  <c r="G108" i="42"/>
  <c r="F108" i="42"/>
  <c r="E108" i="42"/>
  <c r="D108" i="42"/>
  <c r="C108" i="42"/>
  <c r="B108" i="42"/>
  <c r="N108" i="42" s="1"/>
  <c r="Q108" i="42" s="1"/>
  <c r="S107" i="42"/>
  <c r="N107" i="42"/>
  <c r="N106" i="42"/>
  <c r="S105" i="42"/>
  <c r="N105" i="42"/>
  <c r="S104" i="42"/>
  <c r="N104" i="42"/>
  <c r="S103" i="42"/>
  <c r="Q103" i="42"/>
  <c r="N103" i="42"/>
  <c r="S102" i="42"/>
  <c r="Q102" i="42"/>
  <c r="N102" i="42"/>
  <c r="S101" i="42"/>
  <c r="Q101" i="42"/>
  <c r="N101" i="42"/>
  <c r="S100" i="42"/>
  <c r="N100" i="42"/>
  <c r="Q100" i="42" s="1"/>
  <c r="S99" i="42"/>
  <c r="Q99" i="42"/>
  <c r="S98" i="42"/>
  <c r="N98" i="42"/>
  <c r="S97" i="42"/>
  <c r="N97" i="42"/>
  <c r="S96" i="42"/>
  <c r="N96" i="42"/>
  <c r="S95" i="42"/>
  <c r="N95" i="42"/>
  <c r="Q95" i="42" s="1"/>
  <c r="S94" i="42"/>
  <c r="N94" i="42"/>
  <c r="Q94" i="42" s="1"/>
  <c r="S93" i="42"/>
  <c r="S92" i="42"/>
  <c r="S91" i="42"/>
  <c r="B91" i="42"/>
  <c r="S90" i="42"/>
  <c r="M90" i="42"/>
  <c r="L90" i="42"/>
  <c r="J90" i="42"/>
  <c r="I90" i="42"/>
  <c r="H90" i="42"/>
  <c r="G90" i="42"/>
  <c r="F90" i="42"/>
  <c r="E90" i="42"/>
  <c r="D90" i="42"/>
  <c r="C90" i="42"/>
  <c r="B90" i="42"/>
  <c r="S89" i="42"/>
  <c r="D89" i="42"/>
  <c r="F89" i="42" s="1"/>
  <c r="C89" i="42"/>
  <c r="E89" i="42" s="1"/>
  <c r="B89" i="42"/>
  <c r="S88" i="42"/>
  <c r="S87" i="42"/>
  <c r="R86" i="42"/>
  <c r="O86" i="42"/>
  <c r="S86" i="42" s="1"/>
  <c r="M86" i="42"/>
  <c r="L86" i="42"/>
  <c r="K86" i="42"/>
  <c r="J86" i="42"/>
  <c r="I86" i="42"/>
  <c r="H86" i="42"/>
  <c r="G86" i="42"/>
  <c r="F86" i="42"/>
  <c r="E86" i="42"/>
  <c r="D86" i="42"/>
  <c r="C86" i="42"/>
  <c r="B86" i="42"/>
  <c r="S85" i="42"/>
  <c r="N85" i="42"/>
  <c r="Q85" i="42" s="1"/>
  <c r="S84" i="42"/>
  <c r="N84" i="42"/>
  <c r="Q84" i="42" s="1"/>
  <c r="S83" i="42"/>
  <c r="N83" i="42"/>
  <c r="Q83" i="42" s="1"/>
  <c r="S82" i="42"/>
  <c r="Q82" i="42"/>
  <c r="N82" i="42"/>
  <c r="S81" i="42"/>
  <c r="N81" i="42"/>
  <c r="Q81" i="42" s="1"/>
  <c r="S80" i="42"/>
  <c r="N80" i="42"/>
  <c r="Q80" i="42" s="1"/>
  <c r="S79" i="42"/>
  <c r="N79" i="42"/>
  <c r="Q79" i="42" s="1"/>
  <c r="S78" i="42"/>
  <c r="S77" i="42"/>
  <c r="O76" i="42"/>
  <c r="S76" i="42" s="1"/>
  <c r="M76" i="42"/>
  <c r="M133" i="42" s="1"/>
  <c r="L76" i="42"/>
  <c r="K76" i="42"/>
  <c r="J76" i="42"/>
  <c r="I76" i="42"/>
  <c r="H76" i="42"/>
  <c r="G76" i="42"/>
  <c r="F76" i="42"/>
  <c r="E76" i="42"/>
  <c r="D76" i="42"/>
  <c r="C76" i="42"/>
  <c r="C133" i="42" s="1"/>
  <c r="B76" i="42"/>
  <c r="B133" i="42" s="1"/>
  <c r="S75" i="42"/>
  <c r="C75" i="42"/>
  <c r="N75" i="42" s="1"/>
  <c r="Q75" i="42" s="1"/>
  <c r="S74" i="42"/>
  <c r="N74" i="42"/>
  <c r="Q74" i="42" s="1"/>
  <c r="S73" i="42"/>
  <c r="N73" i="42"/>
  <c r="Q73" i="42" s="1"/>
  <c r="S72" i="42"/>
  <c r="N72" i="42"/>
  <c r="Q72" i="42" s="1"/>
  <c r="S71" i="42"/>
  <c r="N71" i="42"/>
  <c r="Q71" i="42" s="1"/>
  <c r="S70" i="42"/>
  <c r="N70" i="42"/>
  <c r="S69" i="42"/>
  <c r="N69" i="42"/>
  <c r="S68" i="42"/>
  <c r="N68" i="42"/>
  <c r="N67" i="42"/>
  <c r="S66" i="42"/>
  <c r="N66" i="42"/>
  <c r="S65" i="42"/>
  <c r="N65" i="42"/>
  <c r="S64" i="42"/>
  <c r="N64" i="42"/>
  <c r="S63" i="42"/>
  <c r="Q63" i="42"/>
  <c r="C63" i="42"/>
  <c r="S62" i="42"/>
  <c r="S61" i="42"/>
  <c r="R60" i="42"/>
  <c r="R133" i="42" s="1"/>
  <c r="O60" i="42"/>
  <c r="M60" i="42"/>
  <c r="L60" i="42"/>
  <c r="K60" i="42"/>
  <c r="J60" i="42"/>
  <c r="J133" i="42" s="1"/>
  <c r="I60" i="42"/>
  <c r="H60" i="42"/>
  <c r="G60" i="42"/>
  <c r="G133" i="42" s="1"/>
  <c r="F60" i="42"/>
  <c r="F133" i="42" s="1"/>
  <c r="E60" i="42"/>
  <c r="E133" i="42" s="1"/>
  <c r="D60" i="42"/>
  <c r="D133" i="42" s="1"/>
  <c r="C60" i="42"/>
  <c r="B60" i="42"/>
  <c r="S59" i="42"/>
  <c r="G59" i="42"/>
  <c r="N59" i="42" s="1"/>
  <c r="Q59" i="42" s="1"/>
  <c r="S58" i="42"/>
  <c r="N58" i="42"/>
  <c r="Q58" i="42" s="1"/>
  <c r="S57" i="42"/>
  <c r="N57" i="42"/>
  <c r="Q57" i="42" s="1"/>
  <c r="S56" i="42"/>
  <c r="N56" i="42"/>
  <c r="Q56" i="42" s="1"/>
  <c r="S55" i="42"/>
  <c r="N55" i="42"/>
  <c r="Q55" i="42" s="1"/>
  <c r="S54" i="42"/>
  <c r="N54" i="42"/>
  <c r="Q54" i="42" s="1"/>
  <c r="S53" i="42"/>
  <c r="N53" i="42"/>
  <c r="Q53" i="42" s="1"/>
  <c r="S52" i="42"/>
  <c r="N52" i="42"/>
  <c r="Q52" i="42" s="1"/>
  <c r="S51" i="42"/>
  <c r="S50" i="42"/>
  <c r="S49" i="42"/>
  <c r="O48" i="42"/>
  <c r="S47" i="42"/>
  <c r="M47" i="42"/>
  <c r="L47" i="42"/>
  <c r="F47" i="42"/>
  <c r="E47" i="42"/>
  <c r="D47" i="42"/>
  <c r="C47" i="42"/>
  <c r="B47" i="42"/>
  <c r="N47" i="42" s="1"/>
  <c r="Q47" i="42" s="1"/>
  <c r="S46" i="42"/>
  <c r="N46" i="42"/>
  <c r="Q46" i="42" s="1"/>
  <c r="S45" i="42"/>
  <c r="R44" i="42"/>
  <c r="O44" i="42"/>
  <c r="S44" i="42" s="1"/>
  <c r="C44" i="42"/>
  <c r="S43" i="42"/>
  <c r="M43" i="42"/>
  <c r="L43" i="42"/>
  <c r="K43" i="42"/>
  <c r="N43" i="42" s="1"/>
  <c r="Q43" i="42" s="1"/>
  <c r="J43" i="42"/>
  <c r="F43" i="42"/>
  <c r="E43" i="42"/>
  <c r="C43" i="42"/>
  <c r="B43" i="42"/>
  <c r="S42" i="42"/>
  <c r="N42" i="42"/>
  <c r="S41" i="42"/>
  <c r="N41" i="42"/>
  <c r="Q41" i="42" s="1"/>
  <c r="S40" i="42"/>
  <c r="N40" i="42"/>
  <c r="S39" i="42"/>
  <c r="S38" i="42"/>
  <c r="Q38" i="42"/>
  <c r="N38" i="42"/>
  <c r="S37" i="42"/>
  <c r="N37" i="42"/>
  <c r="S36" i="42"/>
  <c r="M36" i="42"/>
  <c r="L36" i="42"/>
  <c r="K36" i="42"/>
  <c r="N36" i="42" s="1"/>
  <c r="Q36" i="42" s="1"/>
  <c r="J36" i="42"/>
  <c r="I36" i="42"/>
  <c r="H36" i="42"/>
  <c r="G36" i="42"/>
  <c r="F36" i="42"/>
  <c r="E36" i="42"/>
  <c r="D36" i="42"/>
  <c r="S35" i="42"/>
  <c r="M35" i="42"/>
  <c r="M44" i="42" s="1"/>
  <c r="L35" i="42"/>
  <c r="L44" i="42" s="1"/>
  <c r="K35" i="42"/>
  <c r="K44" i="42" s="1"/>
  <c r="J35" i="42"/>
  <c r="J44" i="42" s="1"/>
  <c r="I35" i="42"/>
  <c r="I44" i="42" s="1"/>
  <c r="H35" i="42"/>
  <c r="H44" i="42" s="1"/>
  <c r="G35" i="42"/>
  <c r="G44" i="42" s="1"/>
  <c r="F35" i="42"/>
  <c r="F44" i="42" s="1"/>
  <c r="E35" i="42"/>
  <c r="E44" i="42" s="1"/>
  <c r="D35" i="42"/>
  <c r="D44" i="42" s="1"/>
  <c r="B35" i="42"/>
  <c r="B44" i="42" s="1"/>
  <c r="S34" i="42"/>
  <c r="N34" i="42"/>
  <c r="S33" i="42"/>
  <c r="N33" i="42"/>
  <c r="S32" i="42"/>
  <c r="Q32" i="42"/>
  <c r="S31" i="42"/>
  <c r="N31" i="42"/>
  <c r="Q31" i="42" s="1"/>
  <c r="S30" i="42"/>
  <c r="N30" i="42"/>
  <c r="Q30" i="42" s="1"/>
  <c r="S29" i="42"/>
  <c r="N29" i="42"/>
  <c r="Q29" i="42" s="1"/>
  <c r="S28" i="42"/>
  <c r="N28" i="42"/>
  <c r="Q28" i="42" s="1"/>
  <c r="S27" i="42"/>
  <c r="N27" i="42"/>
  <c r="Q27" i="42" s="1"/>
  <c r="S26" i="42"/>
  <c r="N26" i="42"/>
  <c r="Q26" i="42" s="1"/>
  <c r="S25" i="42"/>
  <c r="S24" i="42"/>
  <c r="R23" i="42"/>
  <c r="S23" i="42" s="1"/>
  <c r="O23" i="42"/>
  <c r="M23" i="42"/>
  <c r="L23" i="42"/>
  <c r="K23" i="42"/>
  <c r="J23" i="42"/>
  <c r="I23" i="42"/>
  <c r="H23" i="42"/>
  <c r="G23" i="42"/>
  <c r="F23" i="42"/>
  <c r="E23" i="42"/>
  <c r="D23" i="42"/>
  <c r="S22" i="42"/>
  <c r="N22" i="42"/>
  <c r="Q22" i="42" s="1"/>
  <c r="S21" i="42"/>
  <c r="N21" i="42"/>
  <c r="Q21" i="42" s="1"/>
  <c r="S20" i="42"/>
  <c r="N20" i="42"/>
  <c r="Q20" i="42" s="1"/>
  <c r="M20" i="42"/>
  <c r="L20" i="42"/>
  <c r="K20" i="42"/>
  <c r="J20" i="42"/>
  <c r="I20" i="42"/>
  <c r="H20" i="42"/>
  <c r="G20" i="42"/>
  <c r="F20" i="42"/>
  <c r="C20" i="42"/>
  <c r="C23" i="42" s="1"/>
  <c r="B20" i="42"/>
  <c r="B23" i="42" s="1"/>
  <c r="S19" i="42"/>
  <c r="S18" i="42"/>
  <c r="R17" i="42"/>
  <c r="O17" i="42"/>
  <c r="S17" i="42" s="1"/>
  <c r="F17" i="42"/>
  <c r="B17" i="42"/>
  <c r="S16" i="42"/>
  <c r="M16" i="42"/>
  <c r="L16" i="42"/>
  <c r="K16" i="42"/>
  <c r="J16" i="42"/>
  <c r="J17" i="42" s="1"/>
  <c r="I16" i="42"/>
  <c r="H16" i="42"/>
  <c r="N16" i="42" s="1"/>
  <c r="G16" i="42"/>
  <c r="E16" i="42"/>
  <c r="E17" i="42" s="1"/>
  <c r="D16" i="42"/>
  <c r="D17" i="42" s="1"/>
  <c r="C16" i="42"/>
  <c r="S15" i="42"/>
  <c r="M15" i="42"/>
  <c r="M17" i="42" s="1"/>
  <c r="L15" i="42"/>
  <c r="L17" i="42" s="1"/>
  <c r="K15" i="42"/>
  <c r="K17" i="42" s="1"/>
  <c r="I15" i="42"/>
  <c r="I17" i="42" s="1"/>
  <c r="G15" i="42"/>
  <c r="G17" i="42" s="1"/>
  <c r="C15" i="42"/>
  <c r="C17" i="42" s="1"/>
  <c r="S14" i="42"/>
  <c r="N14" i="42"/>
  <c r="M14" i="42"/>
  <c r="S13" i="42"/>
  <c r="S12" i="42"/>
  <c r="R11" i="42"/>
  <c r="R48" i="42" s="1"/>
  <c r="R135" i="42" s="1"/>
  <c r="O11" i="42"/>
  <c r="S11" i="42" s="1"/>
  <c r="M11" i="42"/>
  <c r="M48" i="42" s="1"/>
  <c r="L11" i="42"/>
  <c r="L48" i="42" s="1"/>
  <c r="C11" i="42"/>
  <c r="B11" i="42"/>
  <c r="B48" i="42" s="1"/>
  <c r="S10" i="42"/>
  <c r="N10" i="42"/>
  <c r="Q10" i="42" s="1"/>
  <c r="S9" i="42"/>
  <c r="J9" i="42"/>
  <c r="N9" i="42" s="1"/>
  <c r="Q9" i="42" s="1"/>
  <c r="S8" i="42"/>
  <c r="N8" i="42"/>
  <c r="Q8" i="42" s="1"/>
  <c r="S7" i="42"/>
  <c r="N7" i="42"/>
  <c r="Q7" i="42" s="1"/>
  <c r="S6" i="42"/>
  <c r="M6" i="42"/>
  <c r="L6" i="42"/>
  <c r="K6" i="42"/>
  <c r="K11" i="42" s="1"/>
  <c r="J6" i="42"/>
  <c r="J11" i="42" s="1"/>
  <c r="I6" i="42"/>
  <c r="I11" i="42" s="1"/>
  <c r="H6" i="42"/>
  <c r="H11" i="42" s="1"/>
  <c r="G6" i="42"/>
  <c r="G11" i="42" s="1"/>
  <c r="F6" i="42"/>
  <c r="F11" i="42" s="1"/>
  <c r="E6" i="42"/>
  <c r="E11" i="42" s="1"/>
  <c r="D6" i="42"/>
  <c r="N6" i="42" s="1"/>
  <c r="Q6" i="42" s="1"/>
  <c r="C6" i="42"/>
  <c r="S5" i="42"/>
  <c r="S4" i="42"/>
  <c r="P137" i="41"/>
  <c r="S134" i="41"/>
  <c r="S132" i="41"/>
  <c r="R131" i="41"/>
  <c r="O131" i="41"/>
  <c r="S131" i="41" s="1"/>
  <c r="J131" i="41"/>
  <c r="I131" i="41"/>
  <c r="H131" i="41"/>
  <c r="G131" i="41"/>
  <c r="F131" i="41"/>
  <c r="E131" i="41"/>
  <c r="D131" i="41"/>
  <c r="C131" i="41"/>
  <c r="B131" i="41"/>
  <c r="S130" i="41"/>
  <c r="S129" i="41"/>
  <c r="M129" i="41"/>
  <c r="L129" i="41"/>
  <c r="L131" i="41" s="1"/>
  <c r="K129" i="41"/>
  <c r="N129" i="41" s="1"/>
  <c r="Q129" i="41" s="1"/>
  <c r="J129" i="41"/>
  <c r="S128" i="41"/>
  <c r="M128" i="41"/>
  <c r="M131" i="41" s="1"/>
  <c r="L128" i="41"/>
  <c r="K128" i="41"/>
  <c r="J128" i="41"/>
  <c r="N128" i="41" s="1"/>
  <c r="Q128" i="41" s="1"/>
  <c r="S127" i="41"/>
  <c r="N127" i="41"/>
  <c r="S126" i="41"/>
  <c r="N126" i="41"/>
  <c r="S125" i="41"/>
  <c r="N125" i="41"/>
  <c r="S124" i="41"/>
  <c r="N124" i="41"/>
  <c r="S123" i="41"/>
  <c r="N123" i="41"/>
  <c r="S122" i="41"/>
  <c r="N122" i="41"/>
  <c r="S121" i="41"/>
  <c r="N121" i="41"/>
  <c r="S120" i="41"/>
  <c r="N120" i="41"/>
  <c r="S119" i="41"/>
  <c r="N119" i="41"/>
  <c r="S118" i="41"/>
  <c r="N118" i="41"/>
  <c r="Q118" i="41" s="1"/>
  <c r="S117" i="41"/>
  <c r="N117" i="41"/>
  <c r="Q117" i="41" s="1"/>
  <c r="S116" i="41"/>
  <c r="S115" i="41"/>
  <c r="S114" i="41"/>
  <c r="M114" i="41"/>
  <c r="L114" i="41"/>
  <c r="K114" i="41"/>
  <c r="J114" i="41"/>
  <c r="I114" i="41"/>
  <c r="H114" i="41"/>
  <c r="G114" i="41"/>
  <c r="F114" i="41"/>
  <c r="E114" i="41"/>
  <c r="D114" i="41"/>
  <c r="C114" i="41"/>
  <c r="B114" i="41"/>
  <c r="N114" i="41" s="1"/>
  <c r="Q114" i="41" s="1"/>
  <c r="S112" i="41"/>
  <c r="Q112" i="41"/>
  <c r="N112" i="41"/>
  <c r="S111" i="41"/>
  <c r="S110" i="41"/>
  <c r="S109" i="41"/>
  <c r="R108" i="41"/>
  <c r="O108" i="41"/>
  <c r="S108" i="41" s="1"/>
  <c r="M108" i="41"/>
  <c r="L108" i="41"/>
  <c r="K108" i="41"/>
  <c r="J108" i="41"/>
  <c r="I108" i="41"/>
  <c r="H108" i="41"/>
  <c r="G108" i="41"/>
  <c r="F108" i="41"/>
  <c r="E108" i="41"/>
  <c r="D108" i="41"/>
  <c r="C108" i="41"/>
  <c r="B108" i="41"/>
  <c r="N108" i="41" s="1"/>
  <c r="Q108" i="41" s="1"/>
  <c r="S107" i="41"/>
  <c r="N107" i="41"/>
  <c r="N106" i="41"/>
  <c r="S105" i="41"/>
  <c r="N105" i="41"/>
  <c r="S104" i="41"/>
  <c r="N104" i="41"/>
  <c r="S103" i="41"/>
  <c r="N103" i="41"/>
  <c r="Q103" i="41" s="1"/>
  <c r="S102" i="41"/>
  <c r="Q102" i="41"/>
  <c r="N102" i="41"/>
  <c r="S101" i="41"/>
  <c r="Q101" i="41"/>
  <c r="N101" i="41"/>
  <c r="S100" i="41"/>
  <c r="N100" i="41"/>
  <c r="Q100" i="41" s="1"/>
  <c r="S99" i="41"/>
  <c r="Q99" i="41"/>
  <c r="S98" i="41"/>
  <c r="N98" i="41"/>
  <c r="S97" i="41"/>
  <c r="N97" i="41"/>
  <c r="S96" i="41"/>
  <c r="N96" i="41"/>
  <c r="S95" i="41"/>
  <c r="Q95" i="41"/>
  <c r="N95" i="41"/>
  <c r="S94" i="41"/>
  <c r="N94" i="41"/>
  <c r="Q94" i="41" s="1"/>
  <c r="S93" i="41"/>
  <c r="S92" i="41"/>
  <c r="S91" i="41"/>
  <c r="C91" i="41"/>
  <c r="B91" i="41"/>
  <c r="S90" i="41"/>
  <c r="M90" i="41"/>
  <c r="L90" i="41"/>
  <c r="J90" i="41"/>
  <c r="I90" i="41"/>
  <c r="H90" i="41"/>
  <c r="G90" i="41"/>
  <c r="F90" i="41"/>
  <c r="E90" i="41"/>
  <c r="D90" i="41"/>
  <c r="C90" i="41"/>
  <c r="B90" i="41"/>
  <c r="S89" i="41"/>
  <c r="D89" i="41"/>
  <c r="F89" i="41" s="1"/>
  <c r="C89" i="41"/>
  <c r="E89" i="41" s="1"/>
  <c r="B89" i="41"/>
  <c r="S88" i="41"/>
  <c r="S87" i="41"/>
  <c r="R86" i="41"/>
  <c r="O86" i="41"/>
  <c r="S86" i="41" s="1"/>
  <c r="M86" i="41"/>
  <c r="L86" i="41"/>
  <c r="K86" i="41"/>
  <c r="J86" i="41"/>
  <c r="I86" i="41"/>
  <c r="H86" i="41"/>
  <c r="G86" i="41"/>
  <c r="F86" i="41"/>
  <c r="E86" i="41"/>
  <c r="D86" i="41"/>
  <c r="C86" i="41"/>
  <c r="B86" i="41"/>
  <c r="N86" i="41" s="1"/>
  <c r="Q86" i="41" s="1"/>
  <c r="S85" i="41"/>
  <c r="N85" i="41"/>
  <c r="Q85" i="41" s="1"/>
  <c r="S84" i="41"/>
  <c r="N84" i="41"/>
  <c r="Q84" i="41" s="1"/>
  <c r="S83" i="41"/>
  <c r="N83" i="41"/>
  <c r="Q83" i="41" s="1"/>
  <c r="S82" i="41"/>
  <c r="N82" i="41"/>
  <c r="Q82" i="41" s="1"/>
  <c r="S81" i="41"/>
  <c r="N81" i="41"/>
  <c r="Q81" i="41" s="1"/>
  <c r="S80" i="41"/>
  <c r="N80" i="41"/>
  <c r="Q80" i="41" s="1"/>
  <c r="S79" i="41"/>
  <c r="N79" i="41"/>
  <c r="Q79" i="41" s="1"/>
  <c r="S78" i="41"/>
  <c r="S77" i="41"/>
  <c r="O76" i="41"/>
  <c r="O133" i="41" s="1"/>
  <c r="M76" i="41"/>
  <c r="M133" i="41" s="1"/>
  <c r="L76" i="41"/>
  <c r="K76" i="41"/>
  <c r="J76" i="41"/>
  <c r="I76" i="41"/>
  <c r="H76" i="41"/>
  <c r="G76" i="41"/>
  <c r="F76" i="41"/>
  <c r="E76" i="41"/>
  <c r="D76" i="41"/>
  <c r="C76" i="41"/>
  <c r="C133" i="41" s="1"/>
  <c r="B76" i="41"/>
  <c r="S75" i="41"/>
  <c r="C75" i="41"/>
  <c r="N75" i="41" s="1"/>
  <c r="Q75" i="41" s="1"/>
  <c r="S74" i="41"/>
  <c r="N74" i="41"/>
  <c r="Q74" i="41" s="1"/>
  <c r="S73" i="41"/>
  <c r="N73" i="41"/>
  <c r="Q73" i="41" s="1"/>
  <c r="S72" i="41"/>
  <c r="N72" i="41"/>
  <c r="Q72" i="41" s="1"/>
  <c r="S71" i="41"/>
  <c r="N71" i="41"/>
  <c r="Q71" i="41" s="1"/>
  <c r="S70" i="41"/>
  <c r="N70" i="41"/>
  <c r="S69" i="41"/>
  <c r="N69" i="41"/>
  <c r="S68" i="41"/>
  <c r="N68" i="41"/>
  <c r="N67" i="41"/>
  <c r="S66" i="41"/>
  <c r="N66" i="41"/>
  <c r="S65" i="41"/>
  <c r="N65" i="41"/>
  <c r="S64" i="41"/>
  <c r="N64" i="41"/>
  <c r="S63" i="41"/>
  <c r="Q63" i="41"/>
  <c r="C63" i="41"/>
  <c r="S62" i="41"/>
  <c r="S61" i="41"/>
  <c r="R60" i="41"/>
  <c r="S60" i="41" s="1"/>
  <c r="O60" i="41"/>
  <c r="M60" i="41"/>
  <c r="L60" i="41"/>
  <c r="K60" i="41"/>
  <c r="J60" i="41"/>
  <c r="J133" i="41" s="1"/>
  <c r="I60" i="41"/>
  <c r="I133" i="41" s="1"/>
  <c r="H60" i="41"/>
  <c r="H133" i="41" s="1"/>
  <c r="G60" i="41"/>
  <c r="G133" i="41" s="1"/>
  <c r="F60" i="41"/>
  <c r="F133" i="41" s="1"/>
  <c r="E60" i="41"/>
  <c r="E133" i="41" s="1"/>
  <c r="D60" i="41"/>
  <c r="D133" i="41" s="1"/>
  <c r="C60" i="41"/>
  <c r="B60" i="41"/>
  <c r="S59" i="41"/>
  <c r="N59" i="41"/>
  <c r="Q59" i="41" s="1"/>
  <c r="G59" i="41"/>
  <c r="S58" i="41"/>
  <c r="N58" i="41"/>
  <c r="Q58" i="41" s="1"/>
  <c r="S57" i="41"/>
  <c r="N57" i="41"/>
  <c r="Q57" i="41" s="1"/>
  <c r="S56" i="41"/>
  <c r="N56" i="41"/>
  <c r="Q56" i="41" s="1"/>
  <c r="S55" i="41"/>
  <c r="Q55" i="41"/>
  <c r="N55" i="41"/>
  <c r="S54" i="41"/>
  <c r="N54" i="41"/>
  <c r="Q54" i="41" s="1"/>
  <c r="S53" i="41"/>
  <c r="N53" i="41"/>
  <c r="Q53" i="41" s="1"/>
  <c r="S52" i="41"/>
  <c r="N52" i="41"/>
  <c r="Q52" i="41" s="1"/>
  <c r="S51" i="41"/>
  <c r="S50" i="41"/>
  <c r="S49" i="41"/>
  <c r="O48" i="41"/>
  <c r="S47" i="41"/>
  <c r="M47" i="41"/>
  <c r="L47" i="41"/>
  <c r="F47" i="41"/>
  <c r="E47" i="41"/>
  <c r="D47" i="41"/>
  <c r="C47" i="41"/>
  <c r="B47" i="41"/>
  <c r="N47" i="41" s="1"/>
  <c r="Q47" i="41" s="1"/>
  <c r="S46" i="41"/>
  <c r="N46" i="41"/>
  <c r="Q46" i="41" s="1"/>
  <c r="S45" i="41"/>
  <c r="R44" i="41"/>
  <c r="O44" i="41"/>
  <c r="S44" i="41" s="1"/>
  <c r="C44" i="41"/>
  <c r="S43" i="41"/>
  <c r="M43" i="41"/>
  <c r="L43" i="41"/>
  <c r="K43" i="41"/>
  <c r="N43" i="41" s="1"/>
  <c r="Q43" i="41" s="1"/>
  <c r="J43" i="41"/>
  <c r="F43" i="41"/>
  <c r="E43" i="41"/>
  <c r="E44" i="41" s="1"/>
  <c r="C43" i="41"/>
  <c r="B43" i="41"/>
  <c r="S42" i="41"/>
  <c r="N42" i="41"/>
  <c r="S41" i="41"/>
  <c r="N41" i="41"/>
  <c r="Q41" i="41" s="1"/>
  <c r="S40" i="41"/>
  <c r="N40" i="41"/>
  <c r="S39" i="41"/>
  <c r="S38" i="41"/>
  <c r="Q38" i="41"/>
  <c r="N38" i="41"/>
  <c r="S37" i="41"/>
  <c r="N37" i="41"/>
  <c r="S36" i="41"/>
  <c r="M36" i="41"/>
  <c r="L36" i="41"/>
  <c r="K36" i="41"/>
  <c r="N36" i="41" s="1"/>
  <c r="Q36" i="41" s="1"/>
  <c r="J36" i="41"/>
  <c r="I36" i="41"/>
  <c r="H36" i="41"/>
  <c r="G36" i="41"/>
  <c r="F36" i="41"/>
  <c r="E36" i="41"/>
  <c r="D36" i="41"/>
  <c r="S35" i="41"/>
  <c r="M35" i="41"/>
  <c r="M44" i="41" s="1"/>
  <c r="L35" i="41"/>
  <c r="L44" i="41" s="1"/>
  <c r="K35" i="41"/>
  <c r="K44" i="41" s="1"/>
  <c r="J35" i="41"/>
  <c r="J44" i="41" s="1"/>
  <c r="I35" i="41"/>
  <c r="I44" i="41" s="1"/>
  <c r="H35" i="41"/>
  <c r="H44" i="41" s="1"/>
  <c r="G35" i="41"/>
  <c r="G44" i="41" s="1"/>
  <c r="F35" i="41"/>
  <c r="F44" i="41" s="1"/>
  <c r="E35" i="41"/>
  <c r="D35" i="41"/>
  <c r="D44" i="41" s="1"/>
  <c r="B35" i="41"/>
  <c r="B44" i="41" s="1"/>
  <c r="S34" i="41"/>
  <c r="N34" i="41"/>
  <c r="S33" i="41"/>
  <c r="N33" i="41"/>
  <c r="S32" i="41"/>
  <c r="Q32" i="41"/>
  <c r="S31" i="41"/>
  <c r="N31" i="41"/>
  <c r="Q31" i="41" s="1"/>
  <c r="S30" i="41"/>
  <c r="N30" i="41"/>
  <c r="Q30" i="41" s="1"/>
  <c r="S29" i="41"/>
  <c r="N29" i="41"/>
  <c r="Q29" i="41" s="1"/>
  <c r="S28" i="41"/>
  <c r="N28" i="41"/>
  <c r="Q28" i="41" s="1"/>
  <c r="S27" i="41"/>
  <c r="N27" i="41"/>
  <c r="Q27" i="41" s="1"/>
  <c r="S26" i="41"/>
  <c r="N26" i="41"/>
  <c r="Q26" i="41" s="1"/>
  <c r="S25" i="41"/>
  <c r="S24" i="41"/>
  <c r="R23" i="41"/>
  <c r="S23" i="41" s="1"/>
  <c r="O23" i="41"/>
  <c r="L23" i="41"/>
  <c r="J23" i="41"/>
  <c r="I23" i="41"/>
  <c r="H23" i="41"/>
  <c r="G23" i="41"/>
  <c r="F23" i="41"/>
  <c r="E23" i="41"/>
  <c r="D23" i="41"/>
  <c r="S22" i="41"/>
  <c r="Q22" i="41"/>
  <c r="N22" i="41"/>
  <c r="S21" i="41"/>
  <c r="N21" i="41"/>
  <c r="Q21" i="41" s="1"/>
  <c r="S20" i="41"/>
  <c r="N20" i="41"/>
  <c r="Q20" i="41" s="1"/>
  <c r="M20" i="41"/>
  <c r="M23" i="41" s="1"/>
  <c r="L20" i="41"/>
  <c r="K20" i="41"/>
  <c r="K23" i="41" s="1"/>
  <c r="J20" i="41"/>
  <c r="I20" i="41"/>
  <c r="H20" i="41"/>
  <c r="G20" i="41"/>
  <c r="F20" i="41"/>
  <c r="C20" i="41"/>
  <c r="C23" i="41" s="1"/>
  <c r="B20" i="41"/>
  <c r="B23" i="41" s="1"/>
  <c r="S19" i="41"/>
  <c r="S18" i="41"/>
  <c r="R17" i="41"/>
  <c r="O17" i="41"/>
  <c r="S17" i="41" s="1"/>
  <c r="F17" i="41"/>
  <c r="B17" i="41"/>
  <c r="S16" i="41"/>
  <c r="M16" i="41"/>
  <c r="L16" i="41"/>
  <c r="K16" i="41"/>
  <c r="J16" i="41"/>
  <c r="J17" i="41" s="1"/>
  <c r="I16" i="41"/>
  <c r="H16" i="41"/>
  <c r="H17" i="41" s="1"/>
  <c r="G16" i="41"/>
  <c r="E16" i="41"/>
  <c r="E17" i="41" s="1"/>
  <c r="D16" i="41"/>
  <c r="D17" i="41" s="1"/>
  <c r="C16" i="41"/>
  <c r="S15" i="41"/>
  <c r="M15" i="41"/>
  <c r="L15" i="41"/>
  <c r="L17" i="41" s="1"/>
  <c r="K15" i="41"/>
  <c r="K17" i="41" s="1"/>
  <c r="I15" i="41"/>
  <c r="I17" i="41" s="1"/>
  <c r="G15" i="41"/>
  <c r="G17" i="41" s="1"/>
  <c r="C15" i="41"/>
  <c r="C17" i="41" s="1"/>
  <c r="C48" i="41" s="1"/>
  <c r="S14" i="41"/>
  <c r="M14" i="41"/>
  <c r="N14" i="41" s="1"/>
  <c r="S13" i="41"/>
  <c r="S12" i="41"/>
  <c r="R11" i="41"/>
  <c r="O11" i="41"/>
  <c r="S11" i="41" s="1"/>
  <c r="M11" i="41"/>
  <c r="L11" i="41"/>
  <c r="C11" i="41"/>
  <c r="B11" i="41"/>
  <c r="S10" i="41"/>
  <c r="Q10" i="41"/>
  <c r="N10" i="41"/>
  <c r="S9" i="41"/>
  <c r="J9" i="41"/>
  <c r="N9" i="41" s="1"/>
  <c r="Q9" i="41" s="1"/>
  <c r="S8" i="41"/>
  <c r="N8" i="41"/>
  <c r="Q8" i="41" s="1"/>
  <c r="S7" i="41"/>
  <c r="N7" i="41"/>
  <c r="Q7" i="41" s="1"/>
  <c r="S6" i="41"/>
  <c r="M6" i="41"/>
  <c r="L6" i="41"/>
  <c r="K6" i="41"/>
  <c r="K11" i="41" s="1"/>
  <c r="J6" i="41"/>
  <c r="J11" i="41" s="1"/>
  <c r="I6" i="41"/>
  <c r="I11" i="41" s="1"/>
  <c r="H6" i="41"/>
  <c r="H11" i="41" s="1"/>
  <c r="G6" i="41"/>
  <c r="G11" i="41" s="1"/>
  <c r="F6" i="41"/>
  <c r="F11" i="41" s="1"/>
  <c r="E6" i="41"/>
  <c r="E11" i="41" s="1"/>
  <c r="D6" i="41"/>
  <c r="D11" i="41" s="1"/>
  <c r="C6" i="41"/>
  <c r="N6" i="41" s="1"/>
  <c r="Q6" i="41" s="1"/>
  <c r="S5" i="41"/>
  <c r="S4" i="41"/>
  <c r="F56" i="44" l="1"/>
  <c r="H54" i="44"/>
  <c r="I54" i="44"/>
  <c r="G56" i="44"/>
  <c r="B74" i="44"/>
  <c r="B78" i="44" s="1"/>
  <c r="C76" i="44" s="1"/>
  <c r="C78" i="44" s="1"/>
  <c r="D76" i="44" s="1"/>
  <c r="D78" i="44" s="1"/>
  <c r="E76" i="44" s="1"/>
  <c r="E78" i="44" s="1"/>
  <c r="F76" i="44" s="1"/>
  <c r="F78" i="44" s="1"/>
  <c r="G76" i="44" s="1"/>
  <c r="G78" i="44" s="1"/>
  <c r="H76" i="44" s="1"/>
  <c r="H78" i="44" s="1"/>
  <c r="I76" i="44" s="1"/>
  <c r="I78" i="44" s="1"/>
  <c r="J76" i="44" s="1"/>
  <c r="J78" i="44" s="1"/>
  <c r="K76" i="44" s="1"/>
  <c r="K78" i="44" s="1"/>
  <c r="L76" i="44" s="1"/>
  <c r="L78" i="44" s="1"/>
  <c r="M76" i="44" s="1"/>
  <c r="M78" i="44" s="1"/>
  <c r="N26" i="44"/>
  <c r="N74" i="44" s="1"/>
  <c r="N18" i="44"/>
  <c r="P26" i="44"/>
  <c r="P74" i="44" s="1"/>
  <c r="D74" i="35"/>
  <c r="J48" i="41"/>
  <c r="J135" i="41" s="1"/>
  <c r="D48" i="41"/>
  <c r="D135" i="41" s="1"/>
  <c r="F48" i="41"/>
  <c r="F135" i="41" s="1"/>
  <c r="F145" i="41" s="1"/>
  <c r="E48" i="41"/>
  <c r="E135" i="41" s="1"/>
  <c r="H48" i="41"/>
  <c r="H135" i="41" s="1"/>
  <c r="I48" i="41"/>
  <c r="N76" i="41"/>
  <c r="Q76" i="41" s="1"/>
  <c r="L133" i="41"/>
  <c r="K135" i="43"/>
  <c r="H145" i="43"/>
  <c r="H144" i="43"/>
  <c r="B135" i="43"/>
  <c r="N48" i="43"/>
  <c r="C145" i="43"/>
  <c r="N11" i="43"/>
  <c r="Q11" i="43" s="1"/>
  <c r="J89" i="43"/>
  <c r="H91" i="43"/>
  <c r="N17" i="43"/>
  <c r="S135" i="43"/>
  <c r="F145" i="43"/>
  <c r="F144" i="43"/>
  <c r="E145" i="43"/>
  <c r="J145" i="43"/>
  <c r="J144" i="43"/>
  <c r="S133" i="43"/>
  <c r="D145" i="43"/>
  <c r="I89" i="43"/>
  <c r="G91" i="43"/>
  <c r="N60" i="41"/>
  <c r="Q60" i="41" s="1"/>
  <c r="I133" i="42"/>
  <c r="H133" i="42"/>
  <c r="N86" i="42"/>
  <c r="Q86" i="42" s="1"/>
  <c r="N60" i="42"/>
  <c r="Q60" i="42" s="1"/>
  <c r="G48" i="42"/>
  <c r="G135" i="42" s="1"/>
  <c r="B135" i="42"/>
  <c r="F48" i="42"/>
  <c r="F135" i="42" s="1"/>
  <c r="I48" i="42"/>
  <c r="I135" i="42" s="1"/>
  <c r="E91" i="42"/>
  <c r="G89" i="42"/>
  <c r="N133" i="42"/>
  <c r="Q133" i="42" s="1"/>
  <c r="E48" i="42"/>
  <c r="E135" i="42" s="1"/>
  <c r="N131" i="42"/>
  <c r="Q131" i="42" s="1"/>
  <c r="H89" i="42"/>
  <c r="F91" i="42"/>
  <c r="M135" i="42"/>
  <c r="K133" i="42"/>
  <c r="L133" i="42"/>
  <c r="L135" i="42" s="1"/>
  <c r="J48" i="42"/>
  <c r="J135" i="42" s="1"/>
  <c r="K48" i="42"/>
  <c r="K135" i="42" s="1"/>
  <c r="C48" i="42"/>
  <c r="C135" i="42" s="1"/>
  <c r="N23" i="42"/>
  <c r="Q23" i="42" s="1"/>
  <c r="N44" i="42"/>
  <c r="Q44" i="42" s="1"/>
  <c r="N76" i="42"/>
  <c r="Q76" i="42" s="1"/>
  <c r="C91" i="42"/>
  <c r="S60" i="42"/>
  <c r="D91" i="42"/>
  <c r="O133" i="42"/>
  <c r="S133" i="42" s="1"/>
  <c r="N35" i="42"/>
  <c r="S48" i="42"/>
  <c r="H17" i="42"/>
  <c r="N17" i="42" s="1"/>
  <c r="N15" i="42"/>
  <c r="D11" i="42"/>
  <c r="H89" i="41"/>
  <c r="F91" i="41"/>
  <c r="N17" i="41"/>
  <c r="E145" i="41"/>
  <c r="C135" i="41"/>
  <c r="L48" i="41"/>
  <c r="L135" i="41" s="1"/>
  <c r="D145" i="41"/>
  <c r="I135" i="41"/>
  <c r="K48" i="41"/>
  <c r="E91" i="41"/>
  <c r="G89" i="41"/>
  <c r="G48" i="41"/>
  <c r="G135" i="41" s="1"/>
  <c r="N44" i="41"/>
  <c r="Q44" i="41" s="1"/>
  <c r="N23" i="41"/>
  <c r="Q23" i="41" s="1"/>
  <c r="B48" i="41"/>
  <c r="N11" i="41"/>
  <c r="Q11" i="41" s="1"/>
  <c r="B133" i="41"/>
  <c r="R48" i="41"/>
  <c r="K131" i="41"/>
  <c r="K133" i="41" s="1"/>
  <c r="R133" i="41"/>
  <c r="S133" i="41" s="1"/>
  <c r="D91" i="41"/>
  <c r="N35" i="41"/>
  <c r="S76" i="41"/>
  <c r="N15" i="41"/>
  <c r="N16" i="41"/>
  <c r="M17" i="41"/>
  <c r="M48" i="41" s="1"/>
  <c r="M135" i="41" s="1"/>
  <c r="O135" i="41"/>
  <c r="H56" i="44" l="1"/>
  <c r="J54" i="44"/>
  <c r="I56" i="44"/>
  <c r="K54" i="44"/>
  <c r="F144" i="41"/>
  <c r="K89" i="43"/>
  <c r="I91" i="43"/>
  <c r="L89" i="43"/>
  <c r="L91" i="43" s="1"/>
  <c r="J91" i="43"/>
  <c r="Q48" i="43"/>
  <c r="N135" i="43"/>
  <c r="B139" i="43"/>
  <c r="C137" i="43" s="1"/>
  <c r="C139" i="43" s="1"/>
  <c r="D137" i="43" s="1"/>
  <c r="D139" i="43" s="1"/>
  <c r="E137" i="43" s="1"/>
  <c r="E139" i="43" s="1"/>
  <c r="B145" i="43"/>
  <c r="N145" i="43" s="1"/>
  <c r="C145" i="42"/>
  <c r="E145" i="42"/>
  <c r="I89" i="42"/>
  <c r="G91" i="42"/>
  <c r="B139" i="42"/>
  <c r="C137" i="42" s="1"/>
  <c r="C139" i="42" s="1"/>
  <c r="D137" i="42" s="1"/>
  <c r="B145" i="42"/>
  <c r="D48" i="42"/>
  <c r="D135" i="42" s="1"/>
  <c r="N11" i="42"/>
  <c r="Q11" i="42" s="1"/>
  <c r="J145" i="42"/>
  <c r="J144" i="42"/>
  <c r="H48" i="42"/>
  <c r="H135" i="42" s="1"/>
  <c r="J89" i="42"/>
  <c r="H91" i="42"/>
  <c r="F145" i="42"/>
  <c r="F144" i="42"/>
  <c r="O135" i="42"/>
  <c r="S135" i="42" s="1"/>
  <c r="R135" i="41"/>
  <c r="G91" i="41"/>
  <c r="I89" i="41"/>
  <c r="N133" i="41"/>
  <c r="Q133" i="41" s="1"/>
  <c r="H145" i="41"/>
  <c r="H144" i="41"/>
  <c r="N131" i="41"/>
  <c r="Q131" i="41" s="1"/>
  <c r="S135" i="41"/>
  <c r="S48" i="41"/>
  <c r="K135" i="41"/>
  <c r="J89" i="41"/>
  <c r="H91" i="41"/>
  <c r="C145" i="41"/>
  <c r="B135" i="41"/>
  <c r="N48" i="41"/>
  <c r="J145" i="41"/>
  <c r="J144" i="41"/>
  <c r="O45" i="35"/>
  <c r="P137" i="36"/>
  <c r="R134" i="36"/>
  <c r="R132" i="36"/>
  <c r="O131" i="36"/>
  <c r="R131" i="36" s="1"/>
  <c r="I131" i="36"/>
  <c r="H131" i="36"/>
  <c r="G131" i="36"/>
  <c r="F131" i="36"/>
  <c r="E131" i="36"/>
  <c r="D131" i="36"/>
  <c r="C131" i="36"/>
  <c r="B131" i="36"/>
  <c r="R130" i="36"/>
  <c r="R129" i="36"/>
  <c r="M129" i="36"/>
  <c r="L129" i="36"/>
  <c r="K129" i="36"/>
  <c r="J129" i="36"/>
  <c r="N129" i="36" s="1"/>
  <c r="Q129" i="36" s="1"/>
  <c r="R128" i="36"/>
  <c r="M128" i="36"/>
  <c r="M131" i="36" s="1"/>
  <c r="L128" i="36"/>
  <c r="L131" i="36" s="1"/>
  <c r="K128" i="36"/>
  <c r="K131" i="36" s="1"/>
  <c r="J128" i="36"/>
  <c r="J131" i="36" s="1"/>
  <c r="R127" i="36"/>
  <c r="N127" i="36"/>
  <c r="R126" i="36"/>
  <c r="N126" i="36"/>
  <c r="R125" i="36"/>
  <c r="N125" i="36"/>
  <c r="R124" i="36"/>
  <c r="N124" i="36"/>
  <c r="R123" i="36"/>
  <c r="N123" i="36"/>
  <c r="R122" i="36"/>
  <c r="N122" i="36"/>
  <c r="R121" i="36"/>
  <c r="N121" i="36"/>
  <c r="R120" i="36"/>
  <c r="N120" i="36"/>
  <c r="R119" i="36"/>
  <c r="N119" i="36"/>
  <c r="R118" i="36"/>
  <c r="N118" i="36"/>
  <c r="Q118" i="36" s="1"/>
  <c r="R117" i="36"/>
  <c r="N117" i="36"/>
  <c r="Q117" i="36" s="1"/>
  <c r="R116" i="36"/>
  <c r="R115" i="36"/>
  <c r="R114" i="36"/>
  <c r="M114" i="36"/>
  <c r="L114" i="36"/>
  <c r="K114" i="36"/>
  <c r="J114" i="36"/>
  <c r="I114" i="36"/>
  <c r="H114" i="36"/>
  <c r="G114" i="36"/>
  <c r="F114" i="36"/>
  <c r="E114" i="36"/>
  <c r="D114" i="36"/>
  <c r="C114" i="36"/>
  <c r="B114" i="36"/>
  <c r="R113" i="36"/>
  <c r="N113" i="36"/>
  <c r="Q113" i="36" s="1"/>
  <c r="R112" i="36"/>
  <c r="R111" i="36"/>
  <c r="R110" i="36"/>
  <c r="O109" i="36"/>
  <c r="R109" i="36" s="1"/>
  <c r="M109" i="36"/>
  <c r="L109" i="36"/>
  <c r="K109" i="36"/>
  <c r="J109" i="36"/>
  <c r="I109" i="36"/>
  <c r="H109" i="36"/>
  <c r="G109" i="36"/>
  <c r="F109" i="36"/>
  <c r="E109" i="36"/>
  <c r="D109" i="36"/>
  <c r="C109" i="36"/>
  <c r="B109" i="36"/>
  <c r="N109" i="36" s="1"/>
  <c r="Q109" i="36" s="1"/>
  <c r="R108" i="36"/>
  <c r="N108" i="36"/>
  <c r="R107" i="36"/>
  <c r="N107" i="36"/>
  <c r="R106" i="36"/>
  <c r="N106" i="36"/>
  <c r="R105" i="36"/>
  <c r="N105" i="36"/>
  <c r="R104" i="36"/>
  <c r="N104" i="36"/>
  <c r="R103" i="36"/>
  <c r="N103" i="36"/>
  <c r="Q103" i="36" s="1"/>
  <c r="R102" i="36"/>
  <c r="N102" i="36"/>
  <c r="Q102" i="36" s="1"/>
  <c r="R101" i="36"/>
  <c r="Q101" i="36"/>
  <c r="N101" i="36"/>
  <c r="R100" i="36"/>
  <c r="N100" i="36"/>
  <c r="Q100" i="36" s="1"/>
  <c r="R99" i="36"/>
  <c r="Q99" i="36"/>
  <c r="R98" i="36"/>
  <c r="N98" i="36"/>
  <c r="R97" i="36"/>
  <c r="N97" i="36"/>
  <c r="R96" i="36"/>
  <c r="N96" i="36"/>
  <c r="R95" i="36"/>
  <c r="N95" i="36"/>
  <c r="Q95" i="36" s="1"/>
  <c r="R94" i="36"/>
  <c r="N94" i="36"/>
  <c r="Q94" i="36" s="1"/>
  <c r="R93" i="36"/>
  <c r="R92" i="36"/>
  <c r="R91" i="36"/>
  <c r="R90" i="36"/>
  <c r="M90" i="36"/>
  <c r="L90" i="36"/>
  <c r="J90" i="36"/>
  <c r="I90" i="36"/>
  <c r="H90" i="36"/>
  <c r="G90" i="36"/>
  <c r="F90" i="36"/>
  <c r="E90" i="36"/>
  <c r="D90" i="36"/>
  <c r="C90" i="36"/>
  <c r="B90" i="36"/>
  <c r="R89" i="36"/>
  <c r="C89" i="36"/>
  <c r="C91" i="36" s="1"/>
  <c r="B89" i="36"/>
  <c r="E89" i="36" s="1"/>
  <c r="R88" i="36"/>
  <c r="R87" i="36"/>
  <c r="O86" i="36"/>
  <c r="R86" i="36" s="1"/>
  <c r="M86" i="36"/>
  <c r="L86" i="36"/>
  <c r="K86" i="36"/>
  <c r="J86" i="36"/>
  <c r="I86" i="36"/>
  <c r="H86" i="36"/>
  <c r="G86" i="36"/>
  <c r="F86" i="36"/>
  <c r="E86" i="36"/>
  <c r="D86" i="36"/>
  <c r="C86" i="36"/>
  <c r="B86" i="36"/>
  <c r="N86" i="36" s="1"/>
  <c r="Q86" i="36" s="1"/>
  <c r="R85" i="36"/>
  <c r="N85" i="36"/>
  <c r="Q85" i="36" s="1"/>
  <c r="R84" i="36"/>
  <c r="Q84" i="36"/>
  <c r="N84" i="36"/>
  <c r="R83" i="36"/>
  <c r="N83" i="36"/>
  <c r="Q83" i="36" s="1"/>
  <c r="R82" i="36"/>
  <c r="N82" i="36"/>
  <c r="Q82" i="36" s="1"/>
  <c r="R81" i="36"/>
  <c r="N81" i="36"/>
  <c r="Q81" i="36" s="1"/>
  <c r="R80" i="36"/>
  <c r="Q80" i="36"/>
  <c r="N80" i="36"/>
  <c r="R79" i="36"/>
  <c r="N79" i="36"/>
  <c r="Q79" i="36" s="1"/>
  <c r="R78" i="36"/>
  <c r="R77" i="36"/>
  <c r="O76" i="36"/>
  <c r="R76" i="36" s="1"/>
  <c r="M76" i="36"/>
  <c r="L76" i="36"/>
  <c r="K76" i="36"/>
  <c r="J76" i="36"/>
  <c r="I76" i="36"/>
  <c r="H76" i="36"/>
  <c r="G76" i="36"/>
  <c r="F76" i="36"/>
  <c r="E76" i="36"/>
  <c r="D76" i="36"/>
  <c r="C76" i="36"/>
  <c r="B76" i="36"/>
  <c r="N76" i="36" s="1"/>
  <c r="Q76" i="36" s="1"/>
  <c r="R75" i="36"/>
  <c r="N75" i="36"/>
  <c r="Q75" i="36" s="1"/>
  <c r="R74" i="36"/>
  <c r="N74" i="36"/>
  <c r="Q74" i="36" s="1"/>
  <c r="R73" i="36"/>
  <c r="Q73" i="36"/>
  <c r="N73" i="36"/>
  <c r="R72" i="36"/>
  <c r="N72" i="36"/>
  <c r="Q72" i="36" s="1"/>
  <c r="R71" i="36"/>
  <c r="N71" i="36"/>
  <c r="Q71" i="36" s="1"/>
  <c r="R70" i="36"/>
  <c r="N70" i="36"/>
  <c r="R69" i="36"/>
  <c r="N69" i="36"/>
  <c r="R68" i="36"/>
  <c r="N68" i="36"/>
  <c r="N67" i="36"/>
  <c r="R66" i="36"/>
  <c r="N66" i="36"/>
  <c r="R65" i="36"/>
  <c r="N65" i="36"/>
  <c r="R64" i="36"/>
  <c r="N64" i="36"/>
  <c r="R63" i="36"/>
  <c r="Q63" i="36"/>
  <c r="R62" i="36"/>
  <c r="R61" i="36"/>
  <c r="O60" i="36"/>
  <c r="M60" i="36"/>
  <c r="M133" i="36" s="1"/>
  <c r="L60" i="36"/>
  <c r="L133" i="36" s="1"/>
  <c r="K60" i="36"/>
  <c r="K133" i="36" s="1"/>
  <c r="J60" i="36"/>
  <c r="J133" i="36" s="1"/>
  <c r="I60" i="36"/>
  <c r="I133" i="36" s="1"/>
  <c r="H60" i="36"/>
  <c r="H133" i="36" s="1"/>
  <c r="F60" i="36"/>
  <c r="F133" i="36" s="1"/>
  <c r="E60" i="36"/>
  <c r="E133" i="36" s="1"/>
  <c r="D60" i="36"/>
  <c r="D133" i="36" s="1"/>
  <c r="C60" i="36"/>
  <c r="B60" i="36"/>
  <c r="B133" i="36" s="1"/>
  <c r="R59" i="36"/>
  <c r="N59" i="36"/>
  <c r="Q59" i="36" s="1"/>
  <c r="G59" i="36"/>
  <c r="G60" i="36" s="1"/>
  <c r="G133" i="36" s="1"/>
  <c r="R58" i="36"/>
  <c r="N58" i="36"/>
  <c r="Q58" i="36" s="1"/>
  <c r="R57" i="36"/>
  <c r="N57" i="36"/>
  <c r="Q57" i="36" s="1"/>
  <c r="R56" i="36"/>
  <c r="N56" i="36"/>
  <c r="Q56" i="36" s="1"/>
  <c r="R55" i="36"/>
  <c r="N55" i="36"/>
  <c r="Q55" i="36" s="1"/>
  <c r="R54" i="36"/>
  <c r="N54" i="36"/>
  <c r="Q54" i="36" s="1"/>
  <c r="R53" i="36"/>
  <c r="N53" i="36"/>
  <c r="Q53" i="36" s="1"/>
  <c r="R52" i="36"/>
  <c r="N52" i="36"/>
  <c r="Q52" i="36" s="1"/>
  <c r="R51" i="36"/>
  <c r="R50" i="36"/>
  <c r="R49" i="36"/>
  <c r="R47" i="36"/>
  <c r="M47" i="36"/>
  <c r="L47" i="36"/>
  <c r="F47" i="36"/>
  <c r="E47" i="36"/>
  <c r="D47" i="36"/>
  <c r="C47" i="36"/>
  <c r="B47" i="36"/>
  <c r="R46" i="36"/>
  <c r="N46" i="36"/>
  <c r="Q46" i="36" s="1"/>
  <c r="R45" i="36"/>
  <c r="O44" i="36"/>
  <c r="R44" i="36" s="1"/>
  <c r="R43" i="36"/>
  <c r="M43" i="36"/>
  <c r="L43" i="36"/>
  <c r="K43" i="36"/>
  <c r="J43" i="36"/>
  <c r="F43" i="36"/>
  <c r="E43" i="36"/>
  <c r="C43" i="36"/>
  <c r="B43" i="36"/>
  <c r="R42" i="36"/>
  <c r="N42" i="36"/>
  <c r="R41" i="36"/>
  <c r="N41" i="36"/>
  <c r="Q41" i="36" s="1"/>
  <c r="R40" i="36"/>
  <c r="N40" i="36"/>
  <c r="R39" i="36"/>
  <c r="R38" i="36"/>
  <c r="N38" i="36"/>
  <c r="Q38" i="36" s="1"/>
  <c r="R37" i="36"/>
  <c r="N37" i="36"/>
  <c r="R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N36" i="36" s="1"/>
  <c r="Q36" i="36" s="1"/>
  <c r="R35" i="36"/>
  <c r="C35" i="36"/>
  <c r="C44" i="36" s="1"/>
  <c r="B35" i="36"/>
  <c r="B44" i="36" s="1"/>
  <c r="R34" i="36"/>
  <c r="N34" i="36"/>
  <c r="R33" i="36"/>
  <c r="N33" i="36"/>
  <c r="R32" i="36"/>
  <c r="Q32" i="36"/>
  <c r="R31" i="36"/>
  <c r="Q31" i="36"/>
  <c r="N31" i="36"/>
  <c r="R30" i="36"/>
  <c r="N30" i="36"/>
  <c r="Q30" i="36" s="1"/>
  <c r="R29" i="36"/>
  <c r="N29" i="36"/>
  <c r="Q29" i="36" s="1"/>
  <c r="R28" i="36"/>
  <c r="N28" i="36"/>
  <c r="Q28" i="36" s="1"/>
  <c r="R27" i="36"/>
  <c r="N27" i="36"/>
  <c r="Q27" i="36" s="1"/>
  <c r="R26" i="36"/>
  <c r="N26" i="36"/>
  <c r="Q26" i="36" s="1"/>
  <c r="R25" i="36"/>
  <c r="R24" i="36"/>
  <c r="O23" i="36"/>
  <c r="R23" i="36" s="1"/>
  <c r="E23" i="36"/>
  <c r="D23" i="36"/>
  <c r="R22" i="36"/>
  <c r="N22" i="36"/>
  <c r="Q22" i="36" s="1"/>
  <c r="R21" i="36"/>
  <c r="N21" i="36"/>
  <c r="Q21" i="36" s="1"/>
  <c r="R20" i="36"/>
  <c r="M20" i="36"/>
  <c r="M23" i="36" s="1"/>
  <c r="L20" i="36"/>
  <c r="L23" i="36" s="1"/>
  <c r="K20" i="36"/>
  <c r="K23" i="36" s="1"/>
  <c r="J20" i="36"/>
  <c r="J23" i="36" s="1"/>
  <c r="I20" i="36"/>
  <c r="I23" i="36" s="1"/>
  <c r="H20" i="36"/>
  <c r="H23" i="36" s="1"/>
  <c r="G20" i="36"/>
  <c r="G23" i="36" s="1"/>
  <c r="F20" i="36"/>
  <c r="F23" i="36" s="1"/>
  <c r="C20" i="36"/>
  <c r="C23" i="36" s="1"/>
  <c r="B20" i="36"/>
  <c r="B23" i="36" s="1"/>
  <c r="R19" i="36"/>
  <c r="R18" i="36"/>
  <c r="R17" i="36"/>
  <c r="O17" i="36"/>
  <c r="F17" i="36"/>
  <c r="B17" i="36"/>
  <c r="R16" i="36"/>
  <c r="M16" i="36"/>
  <c r="L16" i="36"/>
  <c r="K16" i="36"/>
  <c r="J16" i="36"/>
  <c r="J17" i="36" s="1"/>
  <c r="I16" i="36"/>
  <c r="H16" i="36"/>
  <c r="H17" i="36" s="1"/>
  <c r="G16" i="36"/>
  <c r="E16" i="36"/>
  <c r="E17" i="36" s="1"/>
  <c r="D16" i="36"/>
  <c r="D17" i="36" s="1"/>
  <c r="C16" i="36"/>
  <c r="R15" i="36"/>
  <c r="M15" i="36"/>
  <c r="L15" i="36"/>
  <c r="L17" i="36" s="1"/>
  <c r="K15" i="36"/>
  <c r="K17" i="36" s="1"/>
  <c r="I15" i="36"/>
  <c r="I17" i="36" s="1"/>
  <c r="G15" i="36"/>
  <c r="G17" i="36" s="1"/>
  <c r="C15" i="36"/>
  <c r="N15" i="36" s="1"/>
  <c r="R14" i="36"/>
  <c r="M14" i="36"/>
  <c r="M17" i="36" s="1"/>
  <c r="R13" i="36"/>
  <c r="R12" i="36"/>
  <c r="O11" i="36"/>
  <c r="O48" i="36" s="1"/>
  <c r="R10" i="36"/>
  <c r="N10" i="36"/>
  <c r="Q10" i="36" s="1"/>
  <c r="R9" i="36"/>
  <c r="J9" i="36"/>
  <c r="C9" i="36"/>
  <c r="R8" i="36"/>
  <c r="N8" i="36"/>
  <c r="Q8" i="36" s="1"/>
  <c r="R7" i="36"/>
  <c r="N7" i="36"/>
  <c r="Q7" i="36" s="1"/>
  <c r="R6" i="36"/>
  <c r="M6" i="36"/>
  <c r="M11" i="36" s="1"/>
  <c r="L6" i="36"/>
  <c r="L11" i="36" s="1"/>
  <c r="K6" i="36"/>
  <c r="K11" i="36" s="1"/>
  <c r="J6" i="36"/>
  <c r="I6" i="36"/>
  <c r="I11" i="36" s="1"/>
  <c r="H6" i="36"/>
  <c r="H11" i="36" s="1"/>
  <c r="G6" i="36"/>
  <c r="G11" i="36" s="1"/>
  <c r="F6" i="36"/>
  <c r="F11" i="36" s="1"/>
  <c r="E6" i="36"/>
  <c r="E11" i="36" s="1"/>
  <c r="D6" i="36"/>
  <c r="D11" i="36" s="1"/>
  <c r="C6" i="36"/>
  <c r="C11" i="36" s="1"/>
  <c r="B6" i="36"/>
  <c r="B11" i="36" s="1"/>
  <c r="R5" i="36"/>
  <c r="R4" i="36"/>
  <c r="O70" i="35"/>
  <c r="I70" i="35"/>
  <c r="H70" i="35"/>
  <c r="G70" i="35"/>
  <c r="F70" i="35"/>
  <c r="E70" i="35"/>
  <c r="C70" i="35"/>
  <c r="B70" i="35"/>
  <c r="O62" i="35"/>
  <c r="M62" i="35"/>
  <c r="L62" i="35"/>
  <c r="K62" i="35"/>
  <c r="J62" i="35"/>
  <c r="I62" i="35"/>
  <c r="H62" i="35"/>
  <c r="G62" i="35"/>
  <c r="F62" i="35"/>
  <c r="E62" i="35"/>
  <c r="C62" i="35"/>
  <c r="B62" i="35"/>
  <c r="N61" i="35"/>
  <c r="P61" i="35" s="1"/>
  <c r="N60" i="35"/>
  <c r="P60" i="35" s="1"/>
  <c r="N59" i="35"/>
  <c r="P59" i="35" s="1"/>
  <c r="P56" i="35"/>
  <c r="P55" i="35"/>
  <c r="M55" i="35"/>
  <c r="L55" i="35"/>
  <c r="J55" i="35"/>
  <c r="I55" i="35"/>
  <c r="H55" i="35"/>
  <c r="G55" i="35"/>
  <c r="F55" i="35"/>
  <c r="E55" i="35"/>
  <c r="C55" i="35"/>
  <c r="B55" i="35"/>
  <c r="P54" i="35"/>
  <c r="C54" i="35"/>
  <c r="B54" i="35"/>
  <c r="D54" i="35" s="1"/>
  <c r="D56" i="35" s="1"/>
  <c r="P53" i="35"/>
  <c r="P52" i="35"/>
  <c r="O51" i="35"/>
  <c r="M51" i="35"/>
  <c r="L51" i="35"/>
  <c r="K51" i="35"/>
  <c r="J51" i="35"/>
  <c r="I51" i="35"/>
  <c r="H51" i="35"/>
  <c r="G51" i="35"/>
  <c r="F51" i="35"/>
  <c r="E51" i="35"/>
  <c r="C51" i="35"/>
  <c r="B51" i="35"/>
  <c r="N50" i="35"/>
  <c r="P50" i="35" s="1"/>
  <c r="N49" i="35"/>
  <c r="P49" i="35" s="1"/>
  <c r="N48" i="35"/>
  <c r="P48" i="35" s="1"/>
  <c r="M45" i="35"/>
  <c r="L45" i="35"/>
  <c r="K45" i="35"/>
  <c r="J45" i="35"/>
  <c r="I45" i="35"/>
  <c r="H45" i="35"/>
  <c r="G45" i="35"/>
  <c r="F45" i="35"/>
  <c r="E45" i="35"/>
  <c r="C45" i="35"/>
  <c r="B45" i="35"/>
  <c r="N44" i="35"/>
  <c r="P44" i="35" s="1"/>
  <c r="N43" i="35"/>
  <c r="P43" i="35" s="1"/>
  <c r="N41" i="35"/>
  <c r="P41" i="35" s="1"/>
  <c r="O37" i="35"/>
  <c r="M37" i="35"/>
  <c r="L37" i="35"/>
  <c r="K37" i="35"/>
  <c r="J37" i="35"/>
  <c r="I37" i="35"/>
  <c r="H37" i="35"/>
  <c r="F37" i="35"/>
  <c r="E37" i="35"/>
  <c r="C37" i="35"/>
  <c r="B37" i="35"/>
  <c r="G36" i="35"/>
  <c r="G37" i="35" s="1"/>
  <c r="N35" i="35"/>
  <c r="P35" i="35" s="1"/>
  <c r="N34" i="35"/>
  <c r="P34" i="35" s="1"/>
  <c r="N33" i="35"/>
  <c r="P33" i="35" s="1"/>
  <c r="N32" i="35"/>
  <c r="P32" i="35" s="1"/>
  <c r="N31" i="35"/>
  <c r="P31" i="35" s="1"/>
  <c r="N30" i="35"/>
  <c r="P30" i="35" s="1"/>
  <c r="O24" i="35"/>
  <c r="E24" i="35"/>
  <c r="N23" i="35"/>
  <c r="P23" i="35" s="1"/>
  <c r="N22" i="35"/>
  <c r="P22" i="35" s="1"/>
  <c r="M21" i="35"/>
  <c r="M24" i="35" s="1"/>
  <c r="L21" i="35"/>
  <c r="L24" i="35" s="1"/>
  <c r="K24" i="35"/>
  <c r="J21" i="35"/>
  <c r="J24" i="35" s="1"/>
  <c r="I21" i="35"/>
  <c r="I24" i="35" s="1"/>
  <c r="H21" i="35"/>
  <c r="H24" i="35" s="1"/>
  <c r="G21" i="35"/>
  <c r="G24" i="35" s="1"/>
  <c r="F21" i="35"/>
  <c r="F24" i="35" s="1"/>
  <c r="C21" i="35"/>
  <c r="C24" i="35" s="1"/>
  <c r="B21" i="35"/>
  <c r="O18" i="35"/>
  <c r="B18" i="35"/>
  <c r="M17" i="35"/>
  <c r="L17" i="35"/>
  <c r="K17" i="35"/>
  <c r="G17" i="35"/>
  <c r="G18" i="35" s="1"/>
  <c r="E17" i="35"/>
  <c r="E18" i="35" s="1"/>
  <c r="C17" i="35"/>
  <c r="M16" i="35"/>
  <c r="L16" i="35"/>
  <c r="L18" i="35" s="1"/>
  <c r="K16" i="35"/>
  <c r="M13" i="35"/>
  <c r="O10" i="35"/>
  <c r="N9" i="35"/>
  <c r="P9" i="35" s="1"/>
  <c r="J8" i="35"/>
  <c r="N8" i="35" s="1"/>
  <c r="P8" i="35" s="1"/>
  <c r="N7" i="35"/>
  <c r="P7" i="35" s="1"/>
  <c r="M6" i="35"/>
  <c r="M10" i="35" s="1"/>
  <c r="L6" i="35"/>
  <c r="L10" i="35" s="1"/>
  <c r="K6" i="35"/>
  <c r="K10" i="35" s="1"/>
  <c r="J6" i="35"/>
  <c r="I6" i="35"/>
  <c r="I10" i="35" s="1"/>
  <c r="H6" i="35"/>
  <c r="H10" i="35" s="1"/>
  <c r="G6" i="35"/>
  <c r="G10" i="35" s="1"/>
  <c r="F6" i="35"/>
  <c r="F10" i="35" s="1"/>
  <c r="E6" i="35"/>
  <c r="E10" i="35" s="1"/>
  <c r="C6" i="35"/>
  <c r="C10" i="35" s="1"/>
  <c r="B10" i="35"/>
  <c r="M54" i="44" l="1"/>
  <c r="M56" i="44" s="1"/>
  <c r="K56" i="44"/>
  <c r="L54" i="44"/>
  <c r="L56" i="44" s="1"/>
  <c r="J56" i="44"/>
  <c r="G72" i="35"/>
  <c r="P51" i="35"/>
  <c r="H72" i="35"/>
  <c r="O72" i="35"/>
  <c r="P45" i="35"/>
  <c r="I72" i="35"/>
  <c r="P62" i="35"/>
  <c r="B72" i="35"/>
  <c r="C72" i="35"/>
  <c r="O26" i="35"/>
  <c r="E72" i="35"/>
  <c r="F72" i="35"/>
  <c r="K18" i="35"/>
  <c r="K26" i="35" s="1"/>
  <c r="N16" i="35"/>
  <c r="P16" i="35" s="1"/>
  <c r="E26" i="35"/>
  <c r="F26" i="35"/>
  <c r="H26" i="35"/>
  <c r="I26" i="35"/>
  <c r="E144" i="43"/>
  <c r="N144" i="43" s="1"/>
  <c r="F137" i="43"/>
  <c r="F139" i="43" s="1"/>
  <c r="G137" i="43" s="1"/>
  <c r="G139" i="43" s="1"/>
  <c r="H137" i="43" s="1"/>
  <c r="H139" i="43" s="1"/>
  <c r="I137" i="43" s="1"/>
  <c r="I139" i="43" s="1"/>
  <c r="J137" i="43" s="1"/>
  <c r="J139" i="43" s="1"/>
  <c r="K137" i="43" s="1"/>
  <c r="K139" i="43" s="1"/>
  <c r="L137" i="43" s="1"/>
  <c r="L139" i="43" s="1"/>
  <c r="M137" i="43" s="1"/>
  <c r="M139" i="43" s="1"/>
  <c r="M89" i="43"/>
  <c r="M91" i="43" s="1"/>
  <c r="K91" i="43"/>
  <c r="N48" i="42"/>
  <c r="K89" i="42"/>
  <c r="I91" i="42"/>
  <c r="D145" i="42"/>
  <c r="D139" i="42"/>
  <c r="E137" i="42" s="1"/>
  <c r="E139" i="42" s="1"/>
  <c r="L89" i="42"/>
  <c r="L91" i="42" s="1"/>
  <c r="J91" i="42"/>
  <c r="H145" i="42"/>
  <c r="H144" i="42"/>
  <c r="Q48" i="41"/>
  <c r="N135" i="41"/>
  <c r="B139" i="41"/>
  <c r="C137" i="41" s="1"/>
  <c r="C139" i="41" s="1"/>
  <c r="D137" i="41" s="1"/>
  <c r="D139" i="41" s="1"/>
  <c r="E137" i="41" s="1"/>
  <c r="E139" i="41" s="1"/>
  <c r="B145" i="41"/>
  <c r="N145" i="41" s="1"/>
  <c r="K89" i="41"/>
  <c r="I91" i="41"/>
  <c r="L89" i="41"/>
  <c r="L91" i="41" s="1"/>
  <c r="J91" i="41"/>
  <c r="L70" i="35"/>
  <c r="L72" i="35" s="1"/>
  <c r="G26" i="35"/>
  <c r="N36" i="35"/>
  <c r="P36" i="35" s="1"/>
  <c r="P37" i="35" s="1"/>
  <c r="J10" i="35"/>
  <c r="N10" i="35" s="1"/>
  <c r="N51" i="35"/>
  <c r="J70" i="35"/>
  <c r="J72" i="35" s="1"/>
  <c r="K70" i="35"/>
  <c r="K72" i="35" s="1"/>
  <c r="O133" i="36"/>
  <c r="R133" i="36" s="1"/>
  <c r="J11" i="36"/>
  <c r="N16" i="36"/>
  <c r="N9" i="36"/>
  <c r="Q9" i="36" s="1"/>
  <c r="N47" i="36"/>
  <c r="Q47" i="36" s="1"/>
  <c r="R11" i="36"/>
  <c r="N14" i="36"/>
  <c r="N43" i="36"/>
  <c r="Q43" i="36" s="1"/>
  <c r="N114" i="36"/>
  <c r="Q114" i="36" s="1"/>
  <c r="C133" i="36"/>
  <c r="N133" i="36" s="1"/>
  <c r="Q133" i="36" s="1"/>
  <c r="O135" i="36"/>
  <c r="R135" i="36" s="1"/>
  <c r="R48" i="36"/>
  <c r="N23" i="36"/>
  <c r="Q23" i="36" s="1"/>
  <c r="N11" i="36"/>
  <c r="Q11" i="36" s="1"/>
  <c r="B48" i="36"/>
  <c r="G89" i="36"/>
  <c r="E91" i="36"/>
  <c r="N131" i="36"/>
  <c r="Q131" i="36" s="1"/>
  <c r="N20" i="36"/>
  <c r="Q20" i="36" s="1"/>
  <c r="N128" i="36"/>
  <c r="Q128" i="36" s="1"/>
  <c r="N6" i="36"/>
  <c r="Q6" i="36" s="1"/>
  <c r="C17" i="36"/>
  <c r="C48" i="36" s="1"/>
  <c r="N60" i="36"/>
  <c r="Q60" i="36" s="1"/>
  <c r="R60" i="36"/>
  <c r="B91" i="36"/>
  <c r="D89" i="36"/>
  <c r="N45" i="35"/>
  <c r="N17" i="35"/>
  <c r="P17" i="35" s="1"/>
  <c r="C18" i="35"/>
  <c r="C26" i="35" s="1"/>
  <c r="L26" i="35"/>
  <c r="N62" i="35"/>
  <c r="M70" i="35"/>
  <c r="M72" i="35" s="1"/>
  <c r="M18" i="35"/>
  <c r="M26" i="35" s="1"/>
  <c r="N21" i="35"/>
  <c r="P21" i="35" s="1"/>
  <c r="P24" i="35" s="1"/>
  <c r="B24" i="35"/>
  <c r="E54" i="35"/>
  <c r="G54" i="35" s="1"/>
  <c r="F54" i="35"/>
  <c r="N37" i="35"/>
  <c r="B56" i="35"/>
  <c r="N6" i="35"/>
  <c r="P6" i="35" s="1"/>
  <c r="P10" i="35" s="1"/>
  <c r="N13" i="35"/>
  <c r="P13" i="35" s="1"/>
  <c r="C56" i="35"/>
  <c r="P72" i="35" l="1"/>
  <c r="P18" i="35"/>
  <c r="P26" i="35" s="1"/>
  <c r="N145" i="42"/>
  <c r="J26" i="35"/>
  <c r="N24" i="35"/>
  <c r="B26" i="35"/>
  <c r="E144" i="42"/>
  <c r="N144" i="42" s="1"/>
  <c r="F137" i="42"/>
  <c r="F139" i="42" s="1"/>
  <c r="G137" i="42" s="1"/>
  <c r="G139" i="42" s="1"/>
  <c r="H137" i="42" s="1"/>
  <c r="H139" i="42" s="1"/>
  <c r="I137" i="42" s="1"/>
  <c r="I139" i="42" s="1"/>
  <c r="J137" i="42" s="1"/>
  <c r="J139" i="42" s="1"/>
  <c r="K137" i="42" s="1"/>
  <c r="K139" i="42" s="1"/>
  <c r="L137" i="42" s="1"/>
  <c r="L139" i="42" s="1"/>
  <c r="M137" i="42" s="1"/>
  <c r="M139" i="42" s="1"/>
  <c r="M89" i="42"/>
  <c r="M91" i="42" s="1"/>
  <c r="K91" i="42"/>
  <c r="Q48" i="42"/>
  <c r="N135" i="42"/>
  <c r="E144" i="41"/>
  <c r="N144" i="41" s="1"/>
  <c r="F137" i="41"/>
  <c r="F139" i="41" s="1"/>
  <c r="G137" i="41" s="1"/>
  <c r="G139" i="41" s="1"/>
  <c r="H137" i="41" s="1"/>
  <c r="H139" i="41" s="1"/>
  <c r="I137" i="41" s="1"/>
  <c r="I139" i="41" s="1"/>
  <c r="J137" i="41" s="1"/>
  <c r="J139" i="41" s="1"/>
  <c r="K137" i="41" s="1"/>
  <c r="K139" i="41" s="1"/>
  <c r="L137" i="41" s="1"/>
  <c r="L139" i="41" s="1"/>
  <c r="M137" i="41" s="1"/>
  <c r="M139" i="41" s="1"/>
  <c r="M89" i="41"/>
  <c r="M91" i="41" s="1"/>
  <c r="K91" i="41"/>
  <c r="E35" i="36"/>
  <c r="E44" i="36" s="1"/>
  <c r="E48" i="36" s="1"/>
  <c r="E135" i="36" s="1"/>
  <c r="E145" i="36" s="1"/>
  <c r="D35" i="36"/>
  <c r="N18" i="35"/>
  <c r="N17" i="36"/>
  <c r="C135" i="36"/>
  <c r="C145" i="36" s="1"/>
  <c r="D91" i="36"/>
  <c r="F89" i="36"/>
  <c r="I89" i="36" s="1"/>
  <c r="G91" i="36"/>
  <c r="B135" i="36"/>
  <c r="E56" i="35"/>
  <c r="N70" i="35"/>
  <c r="N72" i="35" s="1"/>
  <c r="I54" i="35"/>
  <c r="G56" i="35"/>
  <c r="H54" i="35"/>
  <c r="F56" i="35"/>
  <c r="O74" i="35"/>
  <c r="N9" i="33"/>
  <c r="M8" i="33"/>
  <c r="M36" i="32" s="1"/>
  <c r="L8" i="33"/>
  <c r="L36" i="32" s="1"/>
  <c r="K8" i="33"/>
  <c r="K36" i="32" s="1"/>
  <c r="J8" i="33"/>
  <c r="I8" i="33"/>
  <c r="I36" i="32" s="1"/>
  <c r="H8" i="33"/>
  <c r="G8" i="33"/>
  <c r="G36" i="32" s="1"/>
  <c r="F8" i="33"/>
  <c r="E8" i="33"/>
  <c r="E36" i="32" s="1"/>
  <c r="D8" i="33"/>
  <c r="D36" i="32" s="1"/>
  <c r="C8" i="33"/>
  <c r="B8" i="33"/>
  <c r="N7" i="33"/>
  <c r="C6" i="33"/>
  <c r="B6" i="33"/>
  <c r="D5" i="33"/>
  <c r="D6" i="33" s="1"/>
  <c r="P137" i="32"/>
  <c r="S134" i="32"/>
  <c r="S132" i="32"/>
  <c r="R131" i="32"/>
  <c r="O131" i="32"/>
  <c r="S131" i="32" s="1"/>
  <c r="M131" i="32"/>
  <c r="I131" i="32"/>
  <c r="H131" i="32"/>
  <c r="G131" i="32"/>
  <c r="F131" i="32"/>
  <c r="E131" i="32"/>
  <c r="D131" i="32"/>
  <c r="C131" i="32"/>
  <c r="B131" i="32"/>
  <c r="S130" i="32"/>
  <c r="S129" i="32"/>
  <c r="N129" i="32"/>
  <c r="Q129" i="32" s="1"/>
  <c r="M129" i="32"/>
  <c r="L129" i="32"/>
  <c r="K129" i="32"/>
  <c r="J129" i="32"/>
  <c r="S128" i="32"/>
  <c r="M128" i="32"/>
  <c r="L128" i="32"/>
  <c r="L131" i="32" s="1"/>
  <c r="K128" i="32"/>
  <c r="K131" i="32" s="1"/>
  <c r="J128" i="32"/>
  <c r="J131" i="32" s="1"/>
  <c r="S127" i="32"/>
  <c r="N127" i="32"/>
  <c r="S126" i="32"/>
  <c r="N126" i="32"/>
  <c r="S125" i="32"/>
  <c r="N125" i="32"/>
  <c r="S124" i="32"/>
  <c r="N124" i="32"/>
  <c r="S123" i="32"/>
  <c r="N123" i="32"/>
  <c r="S122" i="32"/>
  <c r="N122" i="32"/>
  <c r="S121" i="32"/>
  <c r="N121" i="32"/>
  <c r="S120" i="32"/>
  <c r="N120" i="32"/>
  <c r="S119" i="32"/>
  <c r="N119" i="32"/>
  <c r="S118" i="32"/>
  <c r="N118" i="32"/>
  <c r="Q118" i="32" s="1"/>
  <c r="S117" i="32"/>
  <c r="Q117" i="32"/>
  <c r="N117" i="32"/>
  <c r="S116" i="32"/>
  <c r="S115" i="32"/>
  <c r="S114" i="32"/>
  <c r="M114" i="32"/>
  <c r="L114" i="32"/>
  <c r="K114" i="32"/>
  <c r="J114" i="32"/>
  <c r="I114" i="32"/>
  <c r="H114" i="32"/>
  <c r="G114" i="32"/>
  <c r="F114" i="32"/>
  <c r="E114" i="32"/>
  <c r="D114" i="32"/>
  <c r="C114" i="32"/>
  <c r="B114" i="32"/>
  <c r="N114" i="32" s="1"/>
  <c r="Q114" i="32" s="1"/>
  <c r="S113" i="32"/>
  <c r="N113" i="32"/>
  <c r="Q113" i="32" s="1"/>
  <c r="S112" i="32"/>
  <c r="S111" i="32"/>
  <c r="S110" i="32"/>
  <c r="R109" i="32"/>
  <c r="S109" i="32" s="1"/>
  <c r="O109" i="32"/>
  <c r="M109" i="32"/>
  <c r="L109" i="32"/>
  <c r="K109" i="32"/>
  <c r="J109" i="32"/>
  <c r="I109" i="32"/>
  <c r="H109" i="32"/>
  <c r="G109" i="32"/>
  <c r="F109" i="32"/>
  <c r="E109" i="32"/>
  <c r="D109" i="32"/>
  <c r="C109" i="32"/>
  <c r="B109" i="32"/>
  <c r="S108" i="32"/>
  <c r="N108" i="32"/>
  <c r="S107" i="32"/>
  <c r="N107" i="32"/>
  <c r="S106" i="32"/>
  <c r="N106" i="32"/>
  <c r="S105" i="32"/>
  <c r="N105" i="32"/>
  <c r="S104" i="32"/>
  <c r="N104" i="32"/>
  <c r="S103" i="32"/>
  <c r="N103" i="32"/>
  <c r="Q103" i="32" s="1"/>
  <c r="S102" i="32"/>
  <c r="N102" i="32"/>
  <c r="Q102" i="32" s="1"/>
  <c r="S101" i="32"/>
  <c r="Q101" i="32"/>
  <c r="N101" i="32"/>
  <c r="S100" i="32"/>
  <c r="N100" i="32"/>
  <c r="Q100" i="32" s="1"/>
  <c r="S99" i="32"/>
  <c r="Q99" i="32"/>
  <c r="S98" i="32"/>
  <c r="N98" i="32"/>
  <c r="S97" i="32"/>
  <c r="N97" i="32"/>
  <c r="S96" i="32"/>
  <c r="N96" i="32"/>
  <c r="S95" i="32"/>
  <c r="N95" i="32"/>
  <c r="Q95" i="32" s="1"/>
  <c r="S94" i="32"/>
  <c r="N94" i="32"/>
  <c r="Q94" i="32" s="1"/>
  <c r="S93" i="32"/>
  <c r="S92" i="32"/>
  <c r="S91" i="32"/>
  <c r="S90" i="32"/>
  <c r="M90" i="32"/>
  <c r="L90" i="32"/>
  <c r="J90" i="32"/>
  <c r="I90" i="32"/>
  <c r="H90" i="32"/>
  <c r="G90" i="32"/>
  <c r="F90" i="32"/>
  <c r="E90" i="32"/>
  <c r="D90" i="32"/>
  <c r="C90" i="32"/>
  <c r="B90" i="32"/>
  <c r="S89" i="32"/>
  <c r="D89" i="32"/>
  <c r="F89" i="32" s="1"/>
  <c r="C89" i="32"/>
  <c r="E89" i="32" s="1"/>
  <c r="B89" i="32"/>
  <c r="B91" i="32" s="1"/>
  <c r="S88" i="32"/>
  <c r="S87" i="32"/>
  <c r="S86" i="32"/>
  <c r="R86" i="32"/>
  <c r="O86" i="32"/>
  <c r="M86" i="32"/>
  <c r="L86" i="32"/>
  <c r="K86" i="32"/>
  <c r="J86" i="32"/>
  <c r="I86" i="32"/>
  <c r="H86" i="32"/>
  <c r="G86" i="32"/>
  <c r="F86" i="32"/>
  <c r="E86" i="32"/>
  <c r="D86" i="32"/>
  <c r="C86" i="32"/>
  <c r="B86" i="32"/>
  <c r="S85" i="32"/>
  <c r="N85" i="32"/>
  <c r="Q85" i="32" s="1"/>
  <c r="S84" i="32"/>
  <c r="N84" i="32"/>
  <c r="Q84" i="32" s="1"/>
  <c r="S83" i="32"/>
  <c r="N83" i="32"/>
  <c r="Q83" i="32" s="1"/>
  <c r="S82" i="32"/>
  <c r="N82" i="32"/>
  <c r="Q82" i="32" s="1"/>
  <c r="S81" i="32"/>
  <c r="N81" i="32"/>
  <c r="Q81" i="32" s="1"/>
  <c r="S80" i="32"/>
  <c r="N80" i="32"/>
  <c r="Q80" i="32" s="1"/>
  <c r="S79" i="32"/>
  <c r="N79" i="32"/>
  <c r="Q79" i="32" s="1"/>
  <c r="S78" i="32"/>
  <c r="S77" i="32"/>
  <c r="O76" i="32"/>
  <c r="S76" i="32" s="1"/>
  <c r="M76" i="32"/>
  <c r="L76" i="32"/>
  <c r="K76" i="32"/>
  <c r="J76" i="32"/>
  <c r="I76" i="32"/>
  <c r="H76" i="32"/>
  <c r="G76" i="32"/>
  <c r="F76" i="32"/>
  <c r="E76" i="32"/>
  <c r="D76" i="32"/>
  <c r="C76" i="32"/>
  <c r="B76" i="32"/>
  <c r="S75" i="32"/>
  <c r="N75" i="32"/>
  <c r="Q75" i="32" s="1"/>
  <c r="S74" i="32"/>
  <c r="Q74" i="32"/>
  <c r="N74" i="32"/>
  <c r="S73" i="32"/>
  <c r="N73" i="32"/>
  <c r="Q73" i="32" s="1"/>
  <c r="S72" i="32"/>
  <c r="N72" i="32"/>
  <c r="Q72" i="32" s="1"/>
  <c r="S71" i="32"/>
  <c r="N71" i="32"/>
  <c r="Q71" i="32" s="1"/>
  <c r="S70" i="32"/>
  <c r="N70" i="32"/>
  <c r="S69" i="32"/>
  <c r="N69" i="32"/>
  <c r="S68" i="32"/>
  <c r="N68" i="32"/>
  <c r="N67" i="32"/>
  <c r="S66" i="32"/>
  <c r="N66" i="32"/>
  <c r="S65" i="32"/>
  <c r="N65" i="32"/>
  <c r="S64" i="32"/>
  <c r="N64" i="32"/>
  <c r="S63" i="32"/>
  <c r="Q63" i="32"/>
  <c r="S62" i="32"/>
  <c r="S61" i="32"/>
  <c r="R60" i="32"/>
  <c r="R133" i="32" s="1"/>
  <c r="O60" i="32"/>
  <c r="O133" i="32" s="1"/>
  <c r="S133" i="32" s="1"/>
  <c r="M60" i="32"/>
  <c r="L60" i="32"/>
  <c r="K60" i="32"/>
  <c r="J60" i="32"/>
  <c r="I60" i="32"/>
  <c r="H60" i="32"/>
  <c r="F60" i="32"/>
  <c r="E60" i="32"/>
  <c r="D60" i="32"/>
  <c r="C60" i="32"/>
  <c r="B60" i="32"/>
  <c r="S59" i="32"/>
  <c r="N59" i="32"/>
  <c r="Q59" i="32" s="1"/>
  <c r="G59" i="32"/>
  <c r="G60" i="32" s="1"/>
  <c r="S58" i="32"/>
  <c r="N58" i="32"/>
  <c r="Q58" i="32" s="1"/>
  <c r="S57" i="32"/>
  <c r="N57" i="32"/>
  <c r="Q57" i="32" s="1"/>
  <c r="S56" i="32"/>
  <c r="N56" i="32"/>
  <c r="Q56" i="32" s="1"/>
  <c r="S55" i="32"/>
  <c r="N55" i="32"/>
  <c r="Q55" i="32" s="1"/>
  <c r="S54" i="32"/>
  <c r="N54" i="32"/>
  <c r="Q54" i="32" s="1"/>
  <c r="S53" i="32"/>
  <c r="N53" i="32"/>
  <c r="Q53" i="32" s="1"/>
  <c r="S52" i="32"/>
  <c r="N52" i="32"/>
  <c r="Q52" i="32" s="1"/>
  <c r="S51" i="32"/>
  <c r="S50" i="32"/>
  <c r="S49" i="32"/>
  <c r="S47" i="32"/>
  <c r="N47" i="32"/>
  <c r="Q47" i="32" s="1"/>
  <c r="M47" i="32"/>
  <c r="L47" i="32"/>
  <c r="F47" i="32"/>
  <c r="E47" i="32"/>
  <c r="D47" i="32"/>
  <c r="C47" i="32"/>
  <c r="B47" i="32"/>
  <c r="S46" i="32"/>
  <c r="N46" i="32"/>
  <c r="Q46" i="32" s="1"/>
  <c r="S45" i="32"/>
  <c r="S44" i="32"/>
  <c r="R44" i="32"/>
  <c r="O44" i="32"/>
  <c r="S43" i="32"/>
  <c r="M43" i="32"/>
  <c r="L43" i="32"/>
  <c r="K43" i="32"/>
  <c r="J43" i="32"/>
  <c r="F43" i="32"/>
  <c r="E43" i="32"/>
  <c r="C43" i="32"/>
  <c r="B43" i="32"/>
  <c r="S42" i="32"/>
  <c r="N42" i="32"/>
  <c r="S41" i="32"/>
  <c r="N41" i="32"/>
  <c r="Q41" i="32" s="1"/>
  <c r="S40" i="32"/>
  <c r="N40" i="32"/>
  <c r="S39" i="32"/>
  <c r="S38" i="32"/>
  <c r="N38" i="32"/>
  <c r="Q38" i="32" s="1"/>
  <c r="S37" i="32"/>
  <c r="N37" i="32"/>
  <c r="S36" i="32"/>
  <c r="S35" i="32"/>
  <c r="B35" i="32"/>
  <c r="S34" i="32"/>
  <c r="N34" i="32"/>
  <c r="S33" i="32"/>
  <c r="N33" i="32"/>
  <c r="S32" i="32"/>
  <c r="Q32" i="32"/>
  <c r="S31" i="32"/>
  <c r="N31" i="32"/>
  <c r="Q31" i="32" s="1"/>
  <c r="S30" i="32"/>
  <c r="Q30" i="32"/>
  <c r="N30" i="32"/>
  <c r="S29" i="32"/>
  <c r="N29" i="32"/>
  <c r="Q29" i="32" s="1"/>
  <c r="S28" i="32"/>
  <c r="N28" i="32"/>
  <c r="Q28" i="32" s="1"/>
  <c r="S27" i="32"/>
  <c r="N27" i="32"/>
  <c r="Q27" i="32" s="1"/>
  <c r="S26" i="32"/>
  <c r="Q26" i="32"/>
  <c r="N26" i="32"/>
  <c r="S25" i="32"/>
  <c r="S24" i="32"/>
  <c r="S23" i="32"/>
  <c r="R23" i="32"/>
  <c r="O23" i="32"/>
  <c r="M23" i="32"/>
  <c r="L23" i="32"/>
  <c r="H23" i="32"/>
  <c r="G23" i="32"/>
  <c r="F23" i="32"/>
  <c r="E23" i="32"/>
  <c r="D23" i="32"/>
  <c r="C23" i="32"/>
  <c r="B23" i="32"/>
  <c r="N23" i="32" s="1"/>
  <c r="Q23" i="32" s="1"/>
  <c r="S22" i="32"/>
  <c r="Q22" i="32"/>
  <c r="N22" i="32"/>
  <c r="S21" i="32"/>
  <c r="N21" i="32"/>
  <c r="Q21" i="32" s="1"/>
  <c r="S20" i="32"/>
  <c r="M20" i="32"/>
  <c r="L20" i="32"/>
  <c r="K20" i="32"/>
  <c r="K23" i="32" s="1"/>
  <c r="J20" i="32"/>
  <c r="J23" i="32" s="1"/>
  <c r="I20" i="32"/>
  <c r="I23" i="32" s="1"/>
  <c r="H20" i="32"/>
  <c r="G20" i="32"/>
  <c r="F20" i="32"/>
  <c r="C20" i="32"/>
  <c r="B20" i="32"/>
  <c r="N20" i="32" s="1"/>
  <c r="Q20" i="32" s="1"/>
  <c r="S19" i="32"/>
  <c r="S18" i="32"/>
  <c r="R17" i="32"/>
  <c r="R48" i="32" s="1"/>
  <c r="O17" i="32"/>
  <c r="S17" i="32" s="1"/>
  <c r="H17" i="32"/>
  <c r="G17" i="32"/>
  <c r="D17" i="32"/>
  <c r="B17" i="32"/>
  <c r="S16" i="32"/>
  <c r="M16" i="32"/>
  <c r="L16" i="32"/>
  <c r="K16" i="32"/>
  <c r="J16" i="32"/>
  <c r="J17" i="32" s="1"/>
  <c r="I16" i="32"/>
  <c r="H16" i="32"/>
  <c r="G16" i="32"/>
  <c r="F17" i="32"/>
  <c r="E16" i="32"/>
  <c r="E17" i="32" s="1"/>
  <c r="D16" i="32"/>
  <c r="C16" i="32"/>
  <c r="N16" i="32" s="1"/>
  <c r="S15" i="32"/>
  <c r="M15" i="32"/>
  <c r="M17" i="32" s="1"/>
  <c r="L15" i="32"/>
  <c r="L17" i="32" s="1"/>
  <c r="K15" i="32"/>
  <c r="K17" i="32" s="1"/>
  <c r="I15" i="32"/>
  <c r="I17" i="32" s="1"/>
  <c r="G15" i="32"/>
  <c r="C15" i="32"/>
  <c r="N15" i="32" s="1"/>
  <c r="S14" i="32"/>
  <c r="N14" i="32"/>
  <c r="M14" i="32"/>
  <c r="S13" i="32"/>
  <c r="S12" i="32"/>
  <c r="R11" i="32"/>
  <c r="O11" i="32"/>
  <c r="S11" i="32" s="1"/>
  <c r="K11" i="32"/>
  <c r="J11" i="32"/>
  <c r="I11" i="32"/>
  <c r="H11" i="32"/>
  <c r="S10" i="32"/>
  <c r="N10" i="32"/>
  <c r="Q10" i="32" s="1"/>
  <c r="S9" i="32"/>
  <c r="N9" i="32"/>
  <c r="Q9" i="32" s="1"/>
  <c r="J9" i="32"/>
  <c r="S8" i="32"/>
  <c r="N8" i="32"/>
  <c r="Q8" i="32" s="1"/>
  <c r="S7" i="32"/>
  <c r="N7" i="32"/>
  <c r="Q7" i="32" s="1"/>
  <c r="S6" i="32"/>
  <c r="M6" i="32"/>
  <c r="M11" i="32" s="1"/>
  <c r="L6" i="32"/>
  <c r="L11" i="32" s="1"/>
  <c r="K6" i="32"/>
  <c r="J6" i="32"/>
  <c r="I6" i="32"/>
  <c r="H6" i="32"/>
  <c r="G6" i="32"/>
  <c r="G11" i="32" s="1"/>
  <c r="F6" i="32"/>
  <c r="F11" i="32" s="1"/>
  <c r="E6" i="32"/>
  <c r="E11" i="32" s="1"/>
  <c r="D6" i="32"/>
  <c r="D11" i="32" s="1"/>
  <c r="C6" i="32"/>
  <c r="C11" i="32" s="1"/>
  <c r="B6" i="32"/>
  <c r="B11" i="32" s="1"/>
  <c r="S5" i="32"/>
  <c r="S4" i="32"/>
  <c r="P74" i="35" l="1"/>
  <c r="D44" i="36"/>
  <c r="K89" i="36"/>
  <c r="I91" i="36"/>
  <c r="B139" i="36"/>
  <c r="C137" i="36" s="1"/>
  <c r="C139" i="36" s="1"/>
  <c r="D137" i="36" s="1"/>
  <c r="B145" i="36"/>
  <c r="H89" i="36"/>
  <c r="F91" i="36"/>
  <c r="D35" i="32"/>
  <c r="D44" i="32"/>
  <c r="E74" i="35"/>
  <c r="H36" i="32"/>
  <c r="B36" i="32"/>
  <c r="B44" i="32" s="1"/>
  <c r="C74" i="35"/>
  <c r="C35" i="32"/>
  <c r="C44" i="32" s="1"/>
  <c r="C36" i="32"/>
  <c r="J36" i="32"/>
  <c r="F36" i="32"/>
  <c r="K54" i="35"/>
  <c r="I56" i="35"/>
  <c r="H56" i="35"/>
  <c r="J54" i="35"/>
  <c r="G133" i="32"/>
  <c r="N86" i="32"/>
  <c r="Q86" i="32" s="1"/>
  <c r="K133" i="32"/>
  <c r="N8" i="33"/>
  <c r="E5" i="33"/>
  <c r="M133" i="32"/>
  <c r="C133" i="32"/>
  <c r="N109" i="32"/>
  <c r="Q109" i="32" s="1"/>
  <c r="B133" i="32"/>
  <c r="D133" i="32"/>
  <c r="F133" i="32"/>
  <c r="H133" i="32"/>
  <c r="E133" i="32"/>
  <c r="I133" i="32"/>
  <c r="J133" i="32"/>
  <c r="N76" i="32"/>
  <c r="Q76" i="32" s="1"/>
  <c r="R135" i="32"/>
  <c r="N17" i="32"/>
  <c r="L133" i="32"/>
  <c r="D48" i="32"/>
  <c r="G89" i="32"/>
  <c r="E91" i="32"/>
  <c r="N131" i="32"/>
  <c r="Q131" i="32" s="1"/>
  <c r="N11" i="32"/>
  <c r="Q11" i="32" s="1"/>
  <c r="C48" i="32"/>
  <c r="H89" i="32"/>
  <c r="F91" i="32"/>
  <c r="N6" i="32"/>
  <c r="Q6" i="32" s="1"/>
  <c r="C17" i="32"/>
  <c r="N128" i="32"/>
  <c r="Q128" i="32" s="1"/>
  <c r="C91" i="32"/>
  <c r="D91" i="32"/>
  <c r="N60" i="32"/>
  <c r="Q60" i="32" s="1"/>
  <c r="O48" i="32"/>
  <c r="S60" i="32"/>
  <c r="N43" i="32"/>
  <c r="Q43" i="32" s="1"/>
  <c r="J37" i="29"/>
  <c r="G37" i="29"/>
  <c r="G35" i="36" l="1"/>
  <c r="G44" i="36" s="1"/>
  <c r="G48" i="36" s="1"/>
  <c r="G135" i="36" s="1"/>
  <c r="F35" i="36"/>
  <c r="D48" i="36"/>
  <c r="H91" i="36"/>
  <c r="J89" i="36"/>
  <c r="M89" i="36"/>
  <c r="M91" i="36" s="1"/>
  <c r="K91" i="36"/>
  <c r="G74" i="35"/>
  <c r="N36" i="32"/>
  <c r="Q36" i="32" s="1"/>
  <c r="B48" i="32"/>
  <c r="B135" i="32" s="1"/>
  <c r="B74" i="35"/>
  <c r="L54" i="35"/>
  <c r="L56" i="35" s="1"/>
  <c r="J56" i="35"/>
  <c r="M54" i="35"/>
  <c r="M56" i="35" s="1"/>
  <c r="K56" i="35"/>
  <c r="D135" i="32"/>
  <c r="C135" i="32"/>
  <c r="C145" i="32" s="1"/>
  <c r="F5" i="33"/>
  <c r="E6" i="33"/>
  <c r="N133" i="32"/>
  <c r="Q133" i="32" s="1"/>
  <c r="J89" i="32"/>
  <c r="H91" i="32"/>
  <c r="S48" i="32"/>
  <c r="O135" i="32"/>
  <c r="S135" i="32" s="1"/>
  <c r="I89" i="32"/>
  <c r="G91" i="32"/>
  <c r="M36" i="29"/>
  <c r="C36" i="29"/>
  <c r="D36" i="29"/>
  <c r="E36" i="29"/>
  <c r="F36" i="29"/>
  <c r="G36" i="29"/>
  <c r="H36" i="29"/>
  <c r="I36" i="29"/>
  <c r="J36" i="29"/>
  <c r="K36" i="29"/>
  <c r="L36" i="29"/>
  <c r="B36" i="29"/>
  <c r="M35" i="29"/>
  <c r="C35" i="29"/>
  <c r="D35" i="29"/>
  <c r="E35" i="29"/>
  <c r="F35" i="29"/>
  <c r="G35" i="29"/>
  <c r="H35" i="29"/>
  <c r="I35" i="29"/>
  <c r="J35" i="29"/>
  <c r="K35" i="29"/>
  <c r="L35" i="29"/>
  <c r="B35" i="29"/>
  <c r="D12" i="30"/>
  <c r="E12" i="30"/>
  <c r="F12" i="30"/>
  <c r="G12" i="30" s="1"/>
  <c r="H12" i="30" s="1"/>
  <c r="I12" i="30" s="1"/>
  <c r="J12" i="30" s="1"/>
  <c r="K12" i="30" s="1"/>
  <c r="L12" i="30" s="1"/>
  <c r="M12" i="30" s="1"/>
  <c r="C12" i="30"/>
  <c r="C13" i="30"/>
  <c r="N16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N15" i="30" s="1"/>
  <c r="N14" i="30"/>
  <c r="B13" i="30"/>
  <c r="D13" i="30"/>
  <c r="N9" i="30"/>
  <c r="M8" i="30"/>
  <c r="L8" i="30"/>
  <c r="K8" i="30"/>
  <c r="J8" i="30"/>
  <c r="I8" i="30"/>
  <c r="H8" i="30"/>
  <c r="G8" i="30"/>
  <c r="F8" i="30"/>
  <c r="E8" i="30"/>
  <c r="D8" i="30"/>
  <c r="C8" i="30"/>
  <c r="B8" i="30"/>
  <c r="N8" i="30" s="1"/>
  <c r="N7" i="30"/>
  <c r="C6" i="30"/>
  <c r="B6" i="30"/>
  <c r="D5" i="30"/>
  <c r="D6" i="30" s="1"/>
  <c r="N67" i="29"/>
  <c r="F44" i="36" l="1"/>
  <c r="D135" i="36"/>
  <c r="L89" i="36"/>
  <c r="L91" i="36" s="1"/>
  <c r="J91" i="36"/>
  <c r="H35" i="36"/>
  <c r="H44" i="36" s="1"/>
  <c r="H48" i="36" s="1"/>
  <c r="H135" i="36" s="1"/>
  <c r="E35" i="32"/>
  <c r="B78" i="35"/>
  <c r="C76" i="35" s="1"/>
  <c r="C78" i="35" s="1"/>
  <c r="F74" i="35"/>
  <c r="D145" i="32"/>
  <c r="F6" i="33"/>
  <c r="G5" i="33"/>
  <c r="J91" i="32"/>
  <c r="L89" i="32"/>
  <c r="L91" i="32" s="1"/>
  <c r="K89" i="32"/>
  <c r="I91" i="32"/>
  <c r="B139" i="32"/>
  <c r="C137" i="32" s="1"/>
  <c r="C139" i="32" s="1"/>
  <c r="D137" i="32" s="1"/>
  <c r="D139" i="32" s="1"/>
  <c r="E137" i="32" s="1"/>
  <c r="B145" i="32"/>
  <c r="N36" i="29"/>
  <c r="E5" i="30"/>
  <c r="D76" i="35" l="1"/>
  <c r="D78" i="35" s="1"/>
  <c r="E76" i="35" s="1"/>
  <c r="E78" i="35" s="1"/>
  <c r="F76" i="35" s="1"/>
  <c r="F78" i="35" s="1"/>
  <c r="G76" i="35" s="1"/>
  <c r="G78" i="35" s="1"/>
  <c r="H145" i="36"/>
  <c r="H144" i="36"/>
  <c r="F48" i="36"/>
  <c r="D145" i="36"/>
  <c r="D139" i="36"/>
  <c r="E137" i="36" s="1"/>
  <c r="E139" i="36" s="1"/>
  <c r="H74" i="35"/>
  <c r="F35" i="32"/>
  <c r="F44" i="32" s="1"/>
  <c r="F48" i="32" s="1"/>
  <c r="F135" i="32" s="1"/>
  <c r="E44" i="32"/>
  <c r="G6" i="33"/>
  <c r="H5" i="33"/>
  <c r="M89" i="32"/>
  <c r="M91" i="32" s="1"/>
  <c r="K91" i="32"/>
  <c r="E13" i="30"/>
  <c r="E6" i="30"/>
  <c r="F5" i="30"/>
  <c r="P137" i="29"/>
  <c r="S134" i="29"/>
  <c r="S132" i="29"/>
  <c r="R131" i="29"/>
  <c r="O131" i="29"/>
  <c r="S131" i="29" s="1"/>
  <c r="I131" i="29"/>
  <c r="H131" i="29"/>
  <c r="G131" i="29"/>
  <c r="F131" i="29"/>
  <c r="E131" i="29"/>
  <c r="D131" i="29"/>
  <c r="C131" i="29"/>
  <c r="B131" i="29"/>
  <c r="S130" i="29"/>
  <c r="S129" i="29"/>
  <c r="M129" i="29"/>
  <c r="L129" i="29"/>
  <c r="K129" i="29"/>
  <c r="J129" i="29"/>
  <c r="N129" i="29" s="1"/>
  <c r="Q129" i="29" s="1"/>
  <c r="S128" i="29"/>
  <c r="M128" i="29"/>
  <c r="M131" i="29" s="1"/>
  <c r="L128" i="29"/>
  <c r="L131" i="29" s="1"/>
  <c r="K128" i="29"/>
  <c r="K131" i="29" s="1"/>
  <c r="J128" i="29"/>
  <c r="J131" i="29" s="1"/>
  <c r="S127" i="29"/>
  <c r="N127" i="29"/>
  <c r="S126" i="29"/>
  <c r="N126" i="29"/>
  <c r="S125" i="29"/>
  <c r="N125" i="29"/>
  <c r="S124" i="29"/>
  <c r="N124" i="29"/>
  <c r="S123" i="29"/>
  <c r="N123" i="29"/>
  <c r="S122" i="29"/>
  <c r="N122" i="29"/>
  <c r="S121" i="29"/>
  <c r="N121" i="29"/>
  <c r="S120" i="29"/>
  <c r="N120" i="29"/>
  <c r="S119" i="29"/>
  <c r="N119" i="29"/>
  <c r="S118" i="29"/>
  <c r="N118" i="29"/>
  <c r="Q118" i="29" s="1"/>
  <c r="S117" i="29"/>
  <c r="N117" i="29"/>
  <c r="Q117" i="29" s="1"/>
  <c r="S116" i="29"/>
  <c r="S115" i="29"/>
  <c r="S114" i="29"/>
  <c r="M114" i="29"/>
  <c r="L114" i="29"/>
  <c r="K114" i="29"/>
  <c r="J114" i="29"/>
  <c r="I114" i="29"/>
  <c r="H114" i="29"/>
  <c r="G114" i="29"/>
  <c r="N114" i="29" s="1"/>
  <c r="Q114" i="29" s="1"/>
  <c r="F114" i="29"/>
  <c r="E114" i="29"/>
  <c r="D114" i="29"/>
  <c r="C114" i="29"/>
  <c r="B114" i="29"/>
  <c r="S113" i="29"/>
  <c r="N113" i="29"/>
  <c r="Q113" i="29" s="1"/>
  <c r="S112" i="29"/>
  <c r="S111" i="29"/>
  <c r="S110" i="29"/>
  <c r="S109" i="29"/>
  <c r="R109" i="29"/>
  <c r="O109" i="29"/>
  <c r="M109" i="29"/>
  <c r="L109" i="29"/>
  <c r="K109" i="29"/>
  <c r="J109" i="29"/>
  <c r="I109" i="29"/>
  <c r="H109" i="29"/>
  <c r="G109" i="29"/>
  <c r="F109" i="29"/>
  <c r="E109" i="29"/>
  <c r="D109" i="29"/>
  <c r="C109" i="29"/>
  <c r="B109" i="29"/>
  <c r="N109" i="29" s="1"/>
  <c r="Q109" i="29" s="1"/>
  <c r="S108" i="29"/>
  <c r="N108" i="29"/>
  <c r="S107" i="29"/>
  <c r="N107" i="29"/>
  <c r="S106" i="29"/>
  <c r="N106" i="29"/>
  <c r="S105" i="29"/>
  <c r="N105" i="29"/>
  <c r="S104" i="29"/>
  <c r="N104" i="29"/>
  <c r="S103" i="29"/>
  <c r="N103" i="29"/>
  <c r="Q103" i="29" s="1"/>
  <c r="S102" i="29"/>
  <c r="N102" i="29"/>
  <c r="Q102" i="29" s="1"/>
  <c r="S101" i="29"/>
  <c r="Q101" i="29"/>
  <c r="N101" i="29"/>
  <c r="S100" i="29"/>
  <c r="N100" i="29"/>
  <c r="Q100" i="29" s="1"/>
  <c r="S99" i="29"/>
  <c r="Q99" i="29"/>
  <c r="S98" i="29"/>
  <c r="N98" i="29"/>
  <c r="S97" i="29"/>
  <c r="N97" i="29"/>
  <c r="S96" i="29"/>
  <c r="N96" i="29"/>
  <c r="S95" i="29"/>
  <c r="Q95" i="29"/>
  <c r="N95" i="29"/>
  <c r="S94" i="29"/>
  <c r="Q94" i="29"/>
  <c r="N94" i="29"/>
  <c r="S93" i="29"/>
  <c r="S92" i="29"/>
  <c r="S91" i="29"/>
  <c r="S90" i="29"/>
  <c r="M90" i="29"/>
  <c r="L90" i="29"/>
  <c r="J90" i="29"/>
  <c r="I90" i="29"/>
  <c r="H90" i="29"/>
  <c r="G90" i="29"/>
  <c r="F90" i="29"/>
  <c r="E90" i="29"/>
  <c r="D90" i="29"/>
  <c r="C90" i="29"/>
  <c r="B90" i="29"/>
  <c r="S89" i="29"/>
  <c r="C89" i="29"/>
  <c r="E89" i="29" s="1"/>
  <c r="B89" i="29"/>
  <c r="B91" i="29" s="1"/>
  <c r="S88" i="29"/>
  <c r="S87" i="29"/>
  <c r="R86" i="29"/>
  <c r="S86" i="29" s="1"/>
  <c r="O86" i="29"/>
  <c r="M86" i="29"/>
  <c r="L86" i="29"/>
  <c r="K86" i="29"/>
  <c r="J86" i="29"/>
  <c r="I86" i="29"/>
  <c r="H86" i="29"/>
  <c r="G86" i="29"/>
  <c r="F86" i="29"/>
  <c r="E86" i="29"/>
  <c r="D86" i="29"/>
  <c r="C86" i="29"/>
  <c r="B86" i="29"/>
  <c r="N86" i="29" s="1"/>
  <c r="Q86" i="29" s="1"/>
  <c r="S85" i="29"/>
  <c r="N85" i="29"/>
  <c r="Q85" i="29" s="1"/>
  <c r="S84" i="29"/>
  <c r="N84" i="29"/>
  <c r="Q84" i="29" s="1"/>
  <c r="S83" i="29"/>
  <c r="N83" i="29"/>
  <c r="Q83" i="29" s="1"/>
  <c r="S82" i="29"/>
  <c r="N82" i="29"/>
  <c r="Q82" i="29" s="1"/>
  <c r="S81" i="29"/>
  <c r="N81" i="29"/>
  <c r="Q81" i="29" s="1"/>
  <c r="S80" i="29"/>
  <c r="N80" i="29"/>
  <c r="Q80" i="29" s="1"/>
  <c r="S79" i="29"/>
  <c r="N79" i="29"/>
  <c r="Q79" i="29" s="1"/>
  <c r="S78" i="29"/>
  <c r="S77" i="29"/>
  <c r="O76" i="29"/>
  <c r="S76" i="29" s="1"/>
  <c r="M76" i="29"/>
  <c r="L76" i="29"/>
  <c r="K76" i="29"/>
  <c r="J76" i="29"/>
  <c r="I76" i="29"/>
  <c r="H76" i="29"/>
  <c r="G76" i="29"/>
  <c r="F76" i="29"/>
  <c r="E76" i="29"/>
  <c r="D76" i="29"/>
  <c r="C76" i="29"/>
  <c r="B76" i="29"/>
  <c r="S75" i="29"/>
  <c r="N75" i="29"/>
  <c r="Q75" i="29" s="1"/>
  <c r="S74" i="29"/>
  <c r="N74" i="29"/>
  <c r="Q74" i="29" s="1"/>
  <c r="S73" i="29"/>
  <c r="N73" i="29"/>
  <c r="Q73" i="29" s="1"/>
  <c r="S72" i="29"/>
  <c r="N72" i="29"/>
  <c r="Q72" i="29" s="1"/>
  <c r="S71" i="29"/>
  <c r="N71" i="29"/>
  <c r="Q71" i="29" s="1"/>
  <c r="S70" i="29"/>
  <c r="N70" i="29"/>
  <c r="S69" i="29"/>
  <c r="N69" i="29"/>
  <c r="S68" i="29"/>
  <c r="N68" i="29"/>
  <c r="S66" i="29"/>
  <c r="N66" i="29"/>
  <c r="S65" i="29"/>
  <c r="N65" i="29"/>
  <c r="S64" i="29"/>
  <c r="N64" i="29"/>
  <c r="S63" i="29"/>
  <c r="Q63" i="29"/>
  <c r="S62" i="29"/>
  <c r="S61" i="29"/>
  <c r="R60" i="29"/>
  <c r="O60" i="29"/>
  <c r="O133" i="29" s="1"/>
  <c r="M60" i="29"/>
  <c r="L60" i="29"/>
  <c r="K60" i="29"/>
  <c r="J60" i="29"/>
  <c r="I60" i="29"/>
  <c r="H60" i="29"/>
  <c r="F60" i="29"/>
  <c r="E60" i="29"/>
  <c r="D60" i="29"/>
  <c r="C60" i="29"/>
  <c r="B60" i="29"/>
  <c r="S59" i="29"/>
  <c r="G59" i="29"/>
  <c r="G60" i="29" s="1"/>
  <c r="S58" i="29"/>
  <c r="N58" i="29"/>
  <c r="Q58" i="29" s="1"/>
  <c r="S57" i="29"/>
  <c r="Q57" i="29"/>
  <c r="N57" i="29"/>
  <c r="S56" i="29"/>
  <c r="N56" i="29"/>
  <c r="Q56" i="29" s="1"/>
  <c r="S55" i="29"/>
  <c r="N55" i="29"/>
  <c r="Q55" i="29" s="1"/>
  <c r="S54" i="29"/>
  <c r="N54" i="29"/>
  <c r="Q54" i="29" s="1"/>
  <c r="S53" i="29"/>
  <c r="N53" i="29"/>
  <c r="Q53" i="29" s="1"/>
  <c r="S52" i="29"/>
  <c r="N52" i="29"/>
  <c r="Q52" i="29" s="1"/>
  <c r="S51" i="29"/>
  <c r="S50" i="29"/>
  <c r="S49" i="29"/>
  <c r="R48" i="29"/>
  <c r="S47" i="29"/>
  <c r="M47" i="29"/>
  <c r="L47" i="29"/>
  <c r="F47" i="29"/>
  <c r="E47" i="29"/>
  <c r="D47" i="29"/>
  <c r="C47" i="29"/>
  <c r="N47" i="29" s="1"/>
  <c r="Q47" i="29" s="1"/>
  <c r="B47" i="29"/>
  <c r="S46" i="29"/>
  <c r="Q46" i="29"/>
  <c r="N46" i="29"/>
  <c r="S45" i="29"/>
  <c r="R44" i="29"/>
  <c r="O44" i="29"/>
  <c r="S44" i="29" s="1"/>
  <c r="C44" i="29"/>
  <c r="B44" i="29"/>
  <c r="S43" i="29"/>
  <c r="M43" i="29"/>
  <c r="L43" i="29"/>
  <c r="K43" i="29"/>
  <c r="J43" i="29"/>
  <c r="F43" i="29"/>
  <c r="E43" i="29"/>
  <c r="C43" i="29"/>
  <c r="B43" i="29"/>
  <c r="N43" i="29" s="1"/>
  <c r="Q43" i="29" s="1"/>
  <c r="S42" i="29"/>
  <c r="N42" i="29"/>
  <c r="S41" i="29"/>
  <c r="N41" i="29"/>
  <c r="Q41" i="29" s="1"/>
  <c r="S40" i="29"/>
  <c r="N40" i="29"/>
  <c r="S39" i="29"/>
  <c r="S38" i="29"/>
  <c r="N38" i="29"/>
  <c r="Q38" i="29" s="1"/>
  <c r="S37" i="29"/>
  <c r="N37" i="29"/>
  <c r="S36" i="29"/>
  <c r="Q36" i="29"/>
  <c r="S35" i="29"/>
  <c r="S34" i="29"/>
  <c r="N34" i="29"/>
  <c r="S33" i="29"/>
  <c r="N33" i="29"/>
  <c r="S32" i="29"/>
  <c r="Q32" i="29"/>
  <c r="S31" i="29"/>
  <c r="N31" i="29"/>
  <c r="Q31" i="29" s="1"/>
  <c r="S30" i="29"/>
  <c r="N30" i="29"/>
  <c r="Q30" i="29" s="1"/>
  <c r="S29" i="29"/>
  <c r="N29" i="29"/>
  <c r="Q29" i="29" s="1"/>
  <c r="S28" i="29"/>
  <c r="N28" i="29"/>
  <c r="Q28" i="29" s="1"/>
  <c r="S27" i="29"/>
  <c r="N27" i="29"/>
  <c r="Q27" i="29" s="1"/>
  <c r="S26" i="29"/>
  <c r="N26" i="29"/>
  <c r="Q26" i="29" s="1"/>
  <c r="S25" i="29"/>
  <c r="S24" i="29"/>
  <c r="R23" i="29"/>
  <c r="O23" i="29"/>
  <c r="S23" i="29" s="1"/>
  <c r="M23" i="29"/>
  <c r="L23" i="29"/>
  <c r="K23" i="29"/>
  <c r="G23" i="29"/>
  <c r="F23" i="29"/>
  <c r="E23" i="29"/>
  <c r="D23" i="29"/>
  <c r="C23" i="29"/>
  <c r="B23" i="29"/>
  <c r="S22" i="29"/>
  <c r="N22" i="29"/>
  <c r="Q22" i="29" s="1"/>
  <c r="S21" i="29"/>
  <c r="Q21" i="29"/>
  <c r="N21" i="29"/>
  <c r="S20" i="29"/>
  <c r="M20" i="29"/>
  <c r="L20" i="29"/>
  <c r="K20" i="29"/>
  <c r="J20" i="29"/>
  <c r="J23" i="29" s="1"/>
  <c r="I20" i="29"/>
  <c r="I23" i="29" s="1"/>
  <c r="H20" i="29"/>
  <c r="H23" i="29" s="1"/>
  <c r="G20" i="29"/>
  <c r="F20" i="29"/>
  <c r="C20" i="29"/>
  <c r="B20" i="29"/>
  <c r="S19" i="29"/>
  <c r="S18" i="29"/>
  <c r="R17" i="29"/>
  <c r="O17" i="29"/>
  <c r="S17" i="29" s="1"/>
  <c r="M17" i="29"/>
  <c r="L17" i="29"/>
  <c r="J17" i="29"/>
  <c r="B17" i="29"/>
  <c r="S16" i="29"/>
  <c r="N16" i="29"/>
  <c r="M16" i="29"/>
  <c r="L16" i="29"/>
  <c r="K16" i="29"/>
  <c r="J16" i="29"/>
  <c r="I16" i="29"/>
  <c r="H16" i="29"/>
  <c r="H17" i="29" s="1"/>
  <c r="G16" i="29"/>
  <c r="F16" i="29"/>
  <c r="F17" i="29" s="1"/>
  <c r="E16" i="29"/>
  <c r="E17" i="29" s="1"/>
  <c r="D16" i="29"/>
  <c r="D17" i="29" s="1"/>
  <c r="C16" i="29"/>
  <c r="C17" i="29" s="1"/>
  <c r="S15" i="29"/>
  <c r="M15" i="29"/>
  <c r="L15" i="29"/>
  <c r="K15" i="29"/>
  <c r="K17" i="29" s="1"/>
  <c r="I15" i="29"/>
  <c r="I17" i="29" s="1"/>
  <c r="G15" i="29"/>
  <c r="G17" i="29" s="1"/>
  <c r="C15" i="29"/>
  <c r="N15" i="29" s="1"/>
  <c r="S14" i="29"/>
  <c r="M14" i="29"/>
  <c r="N14" i="29" s="1"/>
  <c r="S13" i="29"/>
  <c r="S12" i="29"/>
  <c r="R11" i="29"/>
  <c r="O11" i="29"/>
  <c r="S11" i="29" s="1"/>
  <c r="I11" i="29"/>
  <c r="H11" i="29"/>
  <c r="G11" i="29"/>
  <c r="S10" i="29"/>
  <c r="N10" i="29"/>
  <c r="Q10" i="29" s="1"/>
  <c r="S9" i="29"/>
  <c r="J9" i="29"/>
  <c r="N9" i="29" s="1"/>
  <c r="Q9" i="29" s="1"/>
  <c r="S8" i="29"/>
  <c r="N8" i="29"/>
  <c r="Q8" i="29" s="1"/>
  <c r="S7" i="29"/>
  <c r="N7" i="29"/>
  <c r="Q7" i="29" s="1"/>
  <c r="S6" i="29"/>
  <c r="M6" i="29"/>
  <c r="M11" i="29" s="1"/>
  <c r="L6" i="29"/>
  <c r="L11" i="29" s="1"/>
  <c r="K6" i="29"/>
  <c r="K11" i="29" s="1"/>
  <c r="J6" i="29"/>
  <c r="I6" i="29"/>
  <c r="H6" i="29"/>
  <c r="G6" i="29"/>
  <c r="F6" i="29"/>
  <c r="F11" i="29" s="1"/>
  <c r="E6" i="29"/>
  <c r="E11" i="29" s="1"/>
  <c r="D6" i="29"/>
  <c r="D11" i="29" s="1"/>
  <c r="C6" i="29"/>
  <c r="C11" i="29" s="1"/>
  <c r="B6" i="29"/>
  <c r="B11" i="29" s="1"/>
  <c r="S5" i="29"/>
  <c r="S4" i="29"/>
  <c r="H76" i="35" l="1"/>
  <c r="H78" i="35" s="1"/>
  <c r="I76" i="35" s="1"/>
  <c r="F135" i="36"/>
  <c r="I74" i="35"/>
  <c r="I35" i="36"/>
  <c r="F137" i="36"/>
  <c r="F139" i="36" s="1"/>
  <c r="G137" i="36" s="1"/>
  <c r="G139" i="36" s="1"/>
  <c r="H137" i="36" s="1"/>
  <c r="H139" i="36" s="1"/>
  <c r="I137" i="36" s="1"/>
  <c r="E144" i="36"/>
  <c r="J35" i="36"/>
  <c r="J44" i="36" s="1"/>
  <c r="J48" i="36" s="1"/>
  <c r="J135" i="36" s="1"/>
  <c r="G35" i="32"/>
  <c r="G44" i="32" s="1"/>
  <c r="G48" i="32" s="1"/>
  <c r="G135" i="32" s="1"/>
  <c r="F144" i="32"/>
  <c r="F145" i="32"/>
  <c r="E48" i="32"/>
  <c r="I5" i="33"/>
  <c r="H6" i="33"/>
  <c r="F133" i="29"/>
  <c r="F13" i="30"/>
  <c r="G5" i="30"/>
  <c r="F6" i="30"/>
  <c r="N76" i="29"/>
  <c r="Q76" i="29" s="1"/>
  <c r="C48" i="29"/>
  <c r="H133" i="29"/>
  <c r="B133" i="29"/>
  <c r="I133" i="29"/>
  <c r="C133" i="29"/>
  <c r="C135" i="29" s="1"/>
  <c r="C145" i="29" s="1"/>
  <c r="D133" i="29"/>
  <c r="E133" i="29"/>
  <c r="L133" i="29"/>
  <c r="N23" i="29"/>
  <c r="Q23" i="29" s="1"/>
  <c r="D44" i="29"/>
  <c r="D48" i="29" s="1"/>
  <c r="K133" i="29"/>
  <c r="N60" i="29"/>
  <c r="Q60" i="29" s="1"/>
  <c r="G133" i="29"/>
  <c r="M133" i="29"/>
  <c r="E91" i="29"/>
  <c r="J133" i="29"/>
  <c r="B48" i="29"/>
  <c r="N17" i="29"/>
  <c r="N131" i="29"/>
  <c r="Q131" i="29" s="1"/>
  <c r="R133" i="29"/>
  <c r="R135" i="29" s="1"/>
  <c r="J11" i="29"/>
  <c r="N59" i="29"/>
  <c r="Q59" i="29" s="1"/>
  <c r="N128" i="29"/>
  <c r="Q128" i="29" s="1"/>
  <c r="N6" i="29"/>
  <c r="Q6" i="29" s="1"/>
  <c r="D89" i="29"/>
  <c r="C91" i="29"/>
  <c r="N20" i="29"/>
  <c r="Q20" i="29" s="1"/>
  <c r="O48" i="29"/>
  <c r="S60" i="29"/>
  <c r="I78" i="35" l="1"/>
  <c r="J76" i="35" s="1"/>
  <c r="I44" i="36"/>
  <c r="F145" i="36"/>
  <c r="F144" i="36"/>
  <c r="J145" i="36"/>
  <c r="J144" i="36"/>
  <c r="J74" i="35"/>
  <c r="G145" i="32"/>
  <c r="G144" i="32"/>
  <c r="H35" i="32"/>
  <c r="H44" i="32" s="1"/>
  <c r="H48" i="32" s="1"/>
  <c r="H135" i="32" s="1"/>
  <c r="E135" i="32"/>
  <c r="I6" i="33"/>
  <c r="J5" i="33"/>
  <c r="G13" i="30"/>
  <c r="G6" i="30"/>
  <c r="H5" i="30"/>
  <c r="D135" i="29"/>
  <c r="D145" i="29" s="1"/>
  <c r="N133" i="29"/>
  <c r="Q133" i="29" s="1"/>
  <c r="F89" i="29"/>
  <c r="D91" i="29"/>
  <c r="B135" i="29"/>
  <c r="E44" i="29"/>
  <c r="S133" i="29"/>
  <c r="G89" i="29"/>
  <c r="O135" i="29"/>
  <c r="S135" i="29" s="1"/>
  <c r="S48" i="29"/>
  <c r="N11" i="29"/>
  <c r="Q11" i="29" s="1"/>
  <c r="N49" i="25"/>
  <c r="N145" i="36" l="1"/>
  <c r="N144" i="36"/>
  <c r="K74" i="35"/>
  <c r="K35" i="36"/>
  <c r="I48" i="36"/>
  <c r="L35" i="36"/>
  <c r="L44" i="36" s="1"/>
  <c r="L48" i="36" s="1"/>
  <c r="L135" i="36" s="1"/>
  <c r="E145" i="32"/>
  <c r="E139" i="32"/>
  <c r="H144" i="32"/>
  <c r="H145" i="32"/>
  <c r="I35" i="32"/>
  <c r="J78" i="35"/>
  <c r="K76" i="35" s="1"/>
  <c r="J6" i="33"/>
  <c r="K5" i="33"/>
  <c r="H13" i="30"/>
  <c r="H6" i="30"/>
  <c r="I5" i="30"/>
  <c r="D144" i="29"/>
  <c r="E48" i="29"/>
  <c r="H89" i="29"/>
  <c r="F91" i="29"/>
  <c r="F44" i="29"/>
  <c r="F48" i="29" s="1"/>
  <c r="F135" i="29" s="1"/>
  <c r="I89" i="29"/>
  <c r="G91" i="29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1" i="25"/>
  <c r="S102" i="25"/>
  <c r="S103" i="25"/>
  <c r="S104" i="25"/>
  <c r="S105" i="25"/>
  <c r="S106" i="25"/>
  <c r="S107" i="25"/>
  <c r="S108" i="25"/>
  <c r="S109" i="25"/>
  <c r="S110" i="25"/>
  <c r="S111" i="25"/>
  <c r="S112" i="25"/>
  <c r="S113" i="25"/>
  <c r="S114" i="25"/>
  <c r="S115" i="25"/>
  <c r="S116" i="25"/>
  <c r="S117" i="25"/>
  <c r="S118" i="25"/>
  <c r="S119" i="25"/>
  <c r="S120" i="25"/>
  <c r="S121" i="25"/>
  <c r="S122" i="25"/>
  <c r="S123" i="25"/>
  <c r="S124" i="25"/>
  <c r="S125" i="25"/>
  <c r="S126" i="25"/>
  <c r="S127" i="25"/>
  <c r="S128" i="25"/>
  <c r="S129" i="25"/>
  <c r="S130" i="25"/>
  <c r="S131" i="25"/>
  <c r="S132" i="25"/>
  <c r="S133" i="25"/>
  <c r="S134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6" i="25"/>
  <c r="R130" i="25"/>
  <c r="R132" i="25" s="1"/>
  <c r="R134" i="25" s="1"/>
  <c r="R108" i="25"/>
  <c r="R85" i="25"/>
  <c r="R75" i="25"/>
  <c r="R60" i="25"/>
  <c r="O60" i="25"/>
  <c r="R44" i="25"/>
  <c r="R23" i="25"/>
  <c r="R17" i="25"/>
  <c r="R11" i="25"/>
  <c r="R48" i="25" s="1"/>
  <c r="M130" i="27"/>
  <c r="J9" i="25"/>
  <c r="M6" i="25"/>
  <c r="L6" i="25"/>
  <c r="K6" i="25"/>
  <c r="J6" i="25"/>
  <c r="I6" i="25"/>
  <c r="H6" i="25"/>
  <c r="G6" i="25"/>
  <c r="F6" i="25"/>
  <c r="E6" i="25"/>
  <c r="D6" i="25"/>
  <c r="C6" i="25"/>
  <c r="B6" i="25"/>
  <c r="P137" i="27"/>
  <c r="O130" i="27"/>
  <c r="I130" i="27"/>
  <c r="H130" i="27"/>
  <c r="G130" i="27"/>
  <c r="F130" i="27"/>
  <c r="E130" i="27"/>
  <c r="D130" i="27"/>
  <c r="C130" i="27"/>
  <c r="B130" i="27"/>
  <c r="M128" i="27"/>
  <c r="L128" i="27"/>
  <c r="K128" i="27"/>
  <c r="J128" i="27"/>
  <c r="M127" i="27"/>
  <c r="L127" i="27"/>
  <c r="K127" i="27"/>
  <c r="J127" i="27"/>
  <c r="N126" i="27"/>
  <c r="N125" i="27"/>
  <c r="N124" i="27"/>
  <c r="N123" i="27"/>
  <c r="N122" i="27"/>
  <c r="N121" i="27"/>
  <c r="N120" i="27"/>
  <c r="N119" i="27"/>
  <c r="N118" i="27"/>
  <c r="N116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N112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N107" i="27"/>
  <c r="N106" i="27"/>
  <c r="N105" i="27"/>
  <c r="N104" i="27"/>
  <c r="N103" i="27"/>
  <c r="N102" i="27"/>
  <c r="Q102" i="27" s="1"/>
  <c r="N101" i="27"/>
  <c r="N100" i="27"/>
  <c r="Q100" i="27" s="1"/>
  <c r="N99" i="27"/>
  <c r="Q98" i="27"/>
  <c r="N97" i="27"/>
  <c r="N96" i="27"/>
  <c r="N95" i="27"/>
  <c r="N94" i="27"/>
  <c r="N93" i="27"/>
  <c r="M89" i="27"/>
  <c r="L89" i="27"/>
  <c r="J89" i="27"/>
  <c r="I89" i="27"/>
  <c r="H89" i="27"/>
  <c r="G89" i="27"/>
  <c r="F89" i="27"/>
  <c r="E89" i="27"/>
  <c r="D89" i="27"/>
  <c r="C89" i="27"/>
  <c r="B89" i="27"/>
  <c r="C88" i="27"/>
  <c r="B88" i="27"/>
  <c r="D88" i="27" s="1"/>
  <c r="O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N84" i="27"/>
  <c r="Q84" i="27" s="1"/>
  <c r="N83" i="27"/>
  <c r="N82" i="27"/>
  <c r="Q82" i="27" s="1"/>
  <c r="N81" i="27"/>
  <c r="N80" i="27"/>
  <c r="Q80" i="27" s="1"/>
  <c r="N79" i="27"/>
  <c r="N78" i="27"/>
  <c r="Q78" i="27" s="1"/>
  <c r="O75" i="27"/>
  <c r="K75" i="27"/>
  <c r="J75" i="27"/>
  <c r="F75" i="27"/>
  <c r="E75" i="27"/>
  <c r="M75" i="27"/>
  <c r="L75" i="27"/>
  <c r="I75" i="27"/>
  <c r="H75" i="27"/>
  <c r="G75" i="27"/>
  <c r="D75" i="27"/>
  <c r="C75" i="27"/>
  <c r="N74" i="27"/>
  <c r="Q74" i="27" s="1"/>
  <c r="N73" i="27"/>
  <c r="N72" i="27"/>
  <c r="Q72" i="27" s="1"/>
  <c r="N71" i="27"/>
  <c r="Q71" i="27" s="1"/>
  <c r="N70" i="27"/>
  <c r="N69" i="27"/>
  <c r="N68" i="27"/>
  <c r="N67" i="27"/>
  <c r="N66" i="27"/>
  <c r="N65" i="27"/>
  <c r="N64" i="27"/>
  <c r="Q63" i="27"/>
  <c r="O60" i="27"/>
  <c r="M60" i="27"/>
  <c r="L60" i="27"/>
  <c r="K60" i="27"/>
  <c r="J60" i="27"/>
  <c r="I60" i="27"/>
  <c r="H60" i="27"/>
  <c r="F60" i="27"/>
  <c r="E60" i="27"/>
  <c r="D60" i="27"/>
  <c r="C60" i="27"/>
  <c r="B60" i="27"/>
  <c r="G59" i="27"/>
  <c r="N59" i="27" s="1"/>
  <c r="N58" i="27"/>
  <c r="N57" i="27"/>
  <c r="Q57" i="27" s="1"/>
  <c r="N56" i="27"/>
  <c r="N55" i="27"/>
  <c r="Q55" i="27" s="1"/>
  <c r="N54" i="27"/>
  <c r="N53" i="27"/>
  <c r="Q53" i="27" s="1"/>
  <c r="N52" i="27"/>
  <c r="M47" i="27"/>
  <c r="L47" i="27"/>
  <c r="F47" i="27"/>
  <c r="E47" i="27"/>
  <c r="D47" i="27"/>
  <c r="C47" i="27"/>
  <c r="B47" i="27"/>
  <c r="N46" i="27"/>
  <c r="Q46" i="27" s="1"/>
  <c r="O44" i="27"/>
  <c r="M43" i="27"/>
  <c r="L43" i="27"/>
  <c r="K43" i="27"/>
  <c r="J43" i="27"/>
  <c r="F43" i="27"/>
  <c r="E43" i="27"/>
  <c r="C43" i="27"/>
  <c r="B43" i="27"/>
  <c r="B44" i="27" s="1"/>
  <c r="N42" i="27"/>
  <c r="N41" i="27"/>
  <c r="N40" i="27"/>
  <c r="N38" i="27"/>
  <c r="N37" i="27"/>
  <c r="N36" i="27"/>
  <c r="N35" i="27"/>
  <c r="N34" i="27"/>
  <c r="N33" i="27"/>
  <c r="Q32" i="27"/>
  <c r="N31" i="27"/>
  <c r="N30" i="27"/>
  <c r="N29" i="27"/>
  <c r="N28" i="27"/>
  <c r="N27" i="27"/>
  <c r="N26" i="27"/>
  <c r="O23" i="27"/>
  <c r="E23" i="27"/>
  <c r="D23" i="27"/>
  <c r="N22" i="27"/>
  <c r="Q22" i="27" s="1"/>
  <c r="N21" i="27"/>
  <c r="M20" i="27"/>
  <c r="M23" i="27" s="1"/>
  <c r="L20" i="27"/>
  <c r="L23" i="27" s="1"/>
  <c r="K20" i="27"/>
  <c r="K23" i="27" s="1"/>
  <c r="J20" i="27"/>
  <c r="J23" i="27" s="1"/>
  <c r="I20" i="27"/>
  <c r="I23" i="27" s="1"/>
  <c r="H20" i="27"/>
  <c r="H23" i="27" s="1"/>
  <c r="G20" i="27"/>
  <c r="G23" i="27" s="1"/>
  <c r="F20" i="27"/>
  <c r="F23" i="27" s="1"/>
  <c r="C20" i="27"/>
  <c r="C23" i="27" s="1"/>
  <c r="B20" i="27"/>
  <c r="O17" i="27"/>
  <c r="B17" i="27"/>
  <c r="M16" i="27"/>
  <c r="L16" i="27"/>
  <c r="K16" i="27"/>
  <c r="J16" i="27"/>
  <c r="J17" i="27" s="1"/>
  <c r="I16" i="27"/>
  <c r="H16" i="27"/>
  <c r="H17" i="27" s="1"/>
  <c r="G16" i="27"/>
  <c r="F16" i="27"/>
  <c r="F17" i="27" s="1"/>
  <c r="E16" i="27"/>
  <c r="E17" i="27" s="1"/>
  <c r="D16" i="27"/>
  <c r="D17" i="27" s="1"/>
  <c r="C16" i="27"/>
  <c r="M15" i="27"/>
  <c r="L15" i="27"/>
  <c r="K15" i="27"/>
  <c r="I15" i="27"/>
  <c r="G15" i="27"/>
  <c r="C15" i="27"/>
  <c r="M14" i="27"/>
  <c r="N14" i="27" s="1"/>
  <c r="O11" i="27"/>
  <c r="N10" i="27"/>
  <c r="J9" i="27"/>
  <c r="N9" i="27" s="1"/>
  <c r="N8" i="27"/>
  <c r="N7" i="27"/>
  <c r="Q7" i="27" s="1"/>
  <c r="M6" i="27"/>
  <c r="M11" i="27" s="1"/>
  <c r="L6" i="27"/>
  <c r="L11" i="27" s="1"/>
  <c r="K6" i="27"/>
  <c r="K11" i="27" s="1"/>
  <c r="J6" i="27"/>
  <c r="I6" i="27"/>
  <c r="I11" i="27" s="1"/>
  <c r="H6" i="27"/>
  <c r="H11" i="27" s="1"/>
  <c r="G6" i="27"/>
  <c r="G11" i="27" s="1"/>
  <c r="F6" i="27"/>
  <c r="F11" i="27" s="1"/>
  <c r="E6" i="27"/>
  <c r="E11" i="27" s="1"/>
  <c r="D6" i="27"/>
  <c r="D11" i="27" s="1"/>
  <c r="C6" i="27"/>
  <c r="C11" i="27" s="1"/>
  <c r="B6" i="27"/>
  <c r="AG15" i="14"/>
  <c r="AG13" i="14"/>
  <c r="V15" i="14"/>
  <c r="W15" i="14"/>
  <c r="X15" i="14"/>
  <c r="Y15" i="14"/>
  <c r="Z15" i="14"/>
  <c r="AA15" i="14"/>
  <c r="AB15" i="14"/>
  <c r="AC15" i="14"/>
  <c r="AD15" i="14"/>
  <c r="AE15" i="14"/>
  <c r="AF15" i="14"/>
  <c r="U15" i="14"/>
  <c r="AG14" i="14"/>
  <c r="V14" i="14"/>
  <c r="W14" i="14"/>
  <c r="X14" i="14"/>
  <c r="Y14" i="14"/>
  <c r="Z14" i="14"/>
  <c r="AA14" i="14"/>
  <c r="AB14" i="14"/>
  <c r="AC14" i="14"/>
  <c r="AD14" i="14"/>
  <c r="AE14" i="14"/>
  <c r="AF14" i="14"/>
  <c r="U14" i="14"/>
  <c r="U12" i="14"/>
  <c r="U8" i="14"/>
  <c r="M16" i="25"/>
  <c r="L16" i="25"/>
  <c r="K16" i="25"/>
  <c r="J16" i="25"/>
  <c r="I16" i="25"/>
  <c r="H16" i="25"/>
  <c r="G16" i="25"/>
  <c r="F16" i="25"/>
  <c r="E16" i="25"/>
  <c r="D16" i="25"/>
  <c r="C16" i="25"/>
  <c r="M15" i="25"/>
  <c r="L15" i="25"/>
  <c r="K15" i="25"/>
  <c r="I15" i="25"/>
  <c r="G15" i="25"/>
  <c r="C15" i="25"/>
  <c r="M14" i="25"/>
  <c r="M16" i="24"/>
  <c r="L16" i="24"/>
  <c r="K16" i="24"/>
  <c r="J16" i="24"/>
  <c r="I16" i="24"/>
  <c r="H16" i="24"/>
  <c r="G16" i="24"/>
  <c r="F16" i="24"/>
  <c r="E16" i="24"/>
  <c r="D16" i="24"/>
  <c r="C16" i="24"/>
  <c r="M15" i="24"/>
  <c r="L15" i="24"/>
  <c r="K15" i="24"/>
  <c r="I15" i="24"/>
  <c r="G15" i="24"/>
  <c r="C15" i="24"/>
  <c r="M14" i="24"/>
  <c r="K78" i="35" l="1"/>
  <c r="L76" i="35" s="1"/>
  <c r="I135" i="36"/>
  <c r="I139" i="36" s="1"/>
  <c r="J137" i="36" s="1"/>
  <c r="J139" i="36" s="1"/>
  <c r="K137" i="36" s="1"/>
  <c r="K44" i="36"/>
  <c r="L74" i="35"/>
  <c r="I44" i="32"/>
  <c r="E144" i="32"/>
  <c r="F137" i="32"/>
  <c r="F139" i="32" s="1"/>
  <c r="G137" i="32" s="1"/>
  <c r="G139" i="32" s="1"/>
  <c r="H137" i="32" s="1"/>
  <c r="H139" i="32" s="1"/>
  <c r="I137" i="32" s="1"/>
  <c r="J35" i="32"/>
  <c r="J44" i="32" s="1"/>
  <c r="J48" i="32" s="1"/>
  <c r="J135" i="32" s="1"/>
  <c r="K6" i="33"/>
  <c r="L5" i="33"/>
  <c r="I13" i="30"/>
  <c r="I6" i="30"/>
  <c r="J5" i="30"/>
  <c r="F145" i="29"/>
  <c r="F144" i="29"/>
  <c r="K89" i="29"/>
  <c r="I91" i="29"/>
  <c r="G44" i="29"/>
  <c r="G48" i="29" s="1"/>
  <c r="G135" i="29" s="1"/>
  <c r="H91" i="29"/>
  <c r="J89" i="29"/>
  <c r="E135" i="29"/>
  <c r="C17" i="27"/>
  <c r="J11" i="27"/>
  <c r="L17" i="27"/>
  <c r="G17" i="27"/>
  <c r="K130" i="27"/>
  <c r="D132" i="27"/>
  <c r="H132" i="27"/>
  <c r="K17" i="27"/>
  <c r="G60" i="27"/>
  <c r="G132" i="27" s="1"/>
  <c r="I17" i="27"/>
  <c r="C132" i="27"/>
  <c r="I132" i="27"/>
  <c r="E88" i="27"/>
  <c r="E90" i="27" s="1"/>
  <c r="N108" i="27"/>
  <c r="Q108" i="27" s="1"/>
  <c r="O48" i="27"/>
  <c r="N85" i="27"/>
  <c r="Q85" i="27" s="1"/>
  <c r="N6" i="27"/>
  <c r="Q6" i="27" s="1"/>
  <c r="B11" i="27"/>
  <c r="N47" i="27"/>
  <c r="N113" i="27"/>
  <c r="M17" i="27"/>
  <c r="N20" i="27"/>
  <c r="Q20" i="27" s="1"/>
  <c r="F132" i="27"/>
  <c r="K132" i="27"/>
  <c r="E132" i="27"/>
  <c r="D44" i="27"/>
  <c r="D48" i="27" s="1"/>
  <c r="C44" i="27"/>
  <c r="C48" i="27" s="1"/>
  <c r="E44" i="27"/>
  <c r="E48" i="27" s="1"/>
  <c r="F44" i="27"/>
  <c r="F48" i="27" s="1"/>
  <c r="O108" i="27"/>
  <c r="O132" i="27" s="1"/>
  <c r="L130" i="27"/>
  <c r="L132" i="27" s="1"/>
  <c r="Q26" i="27"/>
  <c r="Q30" i="27"/>
  <c r="M132" i="27"/>
  <c r="Q28" i="27"/>
  <c r="N128" i="27"/>
  <c r="Q128" i="27" s="1"/>
  <c r="Q41" i="27"/>
  <c r="Q59" i="27"/>
  <c r="F88" i="27"/>
  <c r="D90" i="27"/>
  <c r="B75" i="27"/>
  <c r="N75" i="27" s="1"/>
  <c r="Q75" i="27" s="1"/>
  <c r="N15" i="27"/>
  <c r="N43" i="27"/>
  <c r="Q94" i="27"/>
  <c r="Q117" i="27"/>
  <c r="N16" i="27"/>
  <c r="B23" i="27"/>
  <c r="N23" i="27" s="1"/>
  <c r="Q23" i="27" s="1"/>
  <c r="Q52" i="27"/>
  <c r="Q54" i="27"/>
  <c r="Q56" i="27"/>
  <c r="Q58" i="27"/>
  <c r="Q70" i="27"/>
  <c r="Q73" i="27"/>
  <c r="Q79" i="27"/>
  <c r="Q81" i="27"/>
  <c r="Q83" i="27"/>
  <c r="B90" i="27"/>
  <c r="Q99" i="27"/>
  <c r="Q101" i="27"/>
  <c r="Q21" i="27"/>
  <c r="Q36" i="27"/>
  <c r="C90" i="27"/>
  <c r="N127" i="27"/>
  <c r="J130" i="27"/>
  <c r="J132" i="27" s="1"/>
  <c r="Q38" i="27"/>
  <c r="Q8" i="27"/>
  <c r="Q27" i="27"/>
  <c r="Q29" i="27"/>
  <c r="Q31" i="27"/>
  <c r="Q93" i="27"/>
  <c r="Q112" i="27"/>
  <c r="Q116" i="27"/>
  <c r="Q9" i="27"/>
  <c r="Q10" i="27"/>
  <c r="M35" i="36" l="1"/>
  <c r="K48" i="36"/>
  <c r="L78" i="35"/>
  <c r="M76" i="35" s="1"/>
  <c r="J144" i="32"/>
  <c r="J145" i="32"/>
  <c r="K35" i="32"/>
  <c r="K44" i="32" s="1"/>
  <c r="K48" i="32" s="1"/>
  <c r="K135" i="32" s="1"/>
  <c r="I48" i="32"/>
  <c r="M5" i="33"/>
  <c r="M6" i="33" s="1"/>
  <c r="L6" i="33"/>
  <c r="N5" i="33"/>
  <c r="J13" i="30"/>
  <c r="J6" i="30"/>
  <c r="K5" i="30"/>
  <c r="E145" i="29"/>
  <c r="E144" i="29"/>
  <c r="H44" i="29"/>
  <c r="L89" i="29"/>
  <c r="L91" i="29" s="1"/>
  <c r="J91" i="29"/>
  <c r="M89" i="29"/>
  <c r="M91" i="29" s="1"/>
  <c r="K91" i="29"/>
  <c r="B48" i="27"/>
  <c r="F134" i="27"/>
  <c r="D134" i="27"/>
  <c r="G88" i="27"/>
  <c r="I88" i="27" s="1"/>
  <c r="C134" i="27"/>
  <c r="N60" i="27"/>
  <c r="Q60" i="27" s="1"/>
  <c r="N11" i="27"/>
  <c r="Q11" i="27" s="1"/>
  <c r="Q47" i="27"/>
  <c r="N17" i="27"/>
  <c r="E134" i="27"/>
  <c r="Q113" i="27"/>
  <c r="G44" i="27"/>
  <c r="Q43" i="27"/>
  <c r="H88" i="27"/>
  <c r="F90" i="27"/>
  <c r="Q127" i="27"/>
  <c r="N130" i="27"/>
  <c r="B132" i="27"/>
  <c r="N132" i="27" s="1"/>
  <c r="Q132" i="27" s="1"/>
  <c r="O134" i="27"/>
  <c r="M44" i="36" l="1"/>
  <c r="N35" i="36"/>
  <c r="K135" i="36"/>
  <c r="K139" i="36" s="1"/>
  <c r="L137" i="36" s="1"/>
  <c r="L139" i="36" s="1"/>
  <c r="M137" i="36" s="1"/>
  <c r="I135" i="32"/>
  <c r="I139" i="32" s="1"/>
  <c r="J137" i="32" s="1"/>
  <c r="J139" i="32" s="1"/>
  <c r="K137" i="32" s="1"/>
  <c r="K139" i="32" s="1"/>
  <c r="L137" i="32" s="1"/>
  <c r="L139" i="32" s="1"/>
  <c r="M137" i="32" s="1"/>
  <c r="L35" i="32"/>
  <c r="L44" i="32" s="1"/>
  <c r="L48" i="32" s="1"/>
  <c r="L135" i="32" s="1"/>
  <c r="N6" i="33"/>
  <c r="M35" i="32"/>
  <c r="K13" i="30"/>
  <c r="K6" i="30"/>
  <c r="L5" i="30"/>
  <c r="I44" i="29"/>
  <c r="I48" i="29" s="1"/>
  <c r="I135" i="29" s="1"/>
  <c r="H48" i="29"/>
  <c r="G90" i="27"/>
  <c r="H44" i="27"/>
  <c r="H48" i="27" s="1"/>
  <c r="H134" i="27" s="1"/>
  <c r="G48" i="27"/>
  <c r="J88" i="27"/>
  <c r="H90" i="27"/>
  <c r="K88" i="27"/>
  <c r="I90" i="27"/>
  <c r="Q130" i="27"/>
  <c r="B134" i="27"/>
  <c r="B139" i="27" s="1"/>
  <c r="C137" i="27" s="1"/>
  <c r="C139" i="27" s="1"/>
  <c r="D137" i="27" s="1"/>
  <c r="D139" i="27" s="1"/>
  <c r="E137" i="27" s="1"/>
  <c r="E139" i="27" s="1"/>
  <c r="F137" i="27" s="1"/>
  <c r="F139" i="27" s="1"/>
  <c r="G137" i="27" s="1"/>
  <c r="M48" i="36" l="1"/>
  <c r="N44" i="36"/>
  <c r="Q44" i="36" s="1"/>
  <c r="L144" i="32"/>
  <c r="N144" i="32" s="1"/>
  <c r="L145" i="32"/>
  <c r="N145" i="32" s="1"/>
  <c r="M44" i="32"/>
  <c r="N35" i="32"/>
  <c r="M74" i="35"/>
  <c r="M78" i="35" s="1"/>
  <c r="N26" i="35"/>
  <c r="M13" i="30"/>
  <c r="L13" i="30"/>
  <c r="N12" i="30"/>
  <c r="M5" i="30"/>
  <c r="L6" i="30"/>
  <c r="I144" i="29"/>
  <c r="I145" i="29"/>
  <c r="H135" i="29"/>
  <c r="J44" i="29"/>
  <c r="J48" i="29" s="1"/>
  <c r="J135" i="29" s="1"/>
  <c r="G134" i="27"/>
  <c r="G139" i="27" s="1"/>
  <c r="H137" i="27" s="1"/>
  <c r="H139" i="27" s="1"/>
  <c r="I137" i="27" s="1"/>
  <c r="I44" i="27"/>
  <c r="K90" i="27"/>
  <c r="M88" i="27"/>
  <c r="M90" i="27" s="1"/>
  <c r="L88" i="27"/>
  <c r="L90" i="27" s="1"/>
  <c r="J90" i="27"/>
  <c r="M135" i="36" l="1"/>
  <c r="M139" i="36" s="1"/>
  <c r="N48" i="36"/>
  <c r="M48" i="32"/>
  <c r="N44" i="32"/>
  <c r="Q44" i="32" s="1"/>
  <c r="N74" i="35"/>
  <c r="N13" i="30"/>
  <c r="M6" i="30"/>
  <c r="N6" i="30" s="1"/>
  <c r="N5" i="30"/>
  <c r="J144" i="29"/>
  <c r="J145" i="29"/>
  <c r="H144" i="29"/>
  <c r="H145" i="29"/>
  <c r="K44" i="29"/>
  <c r="K48" i="29" s="1"/>
  <c r="K135" i="29" s="1"/>
  <c r="K145" i="29" s="1"/>
  <c r="J44" i="27"/>
  <c r="J48" i="27" s="1"/>
  <c r="J134" i="27" s="1"/>
  <c r="I48" i="27"/>
  <c r="Q48" i="36" l="1"/>
  <c r="N135" i="36"/>
  <c r="M135" i="32"/>
  <c r="M139" i="32" s="1"/>
  <c r="N48" i="32"/>
  <c r="L44" i="29"/>
  <c r="L48" i="29" s="1"/>
  <c r="I134" i="27"/>
  <c r="I139" i="27" s="1"/>
  <c r="J137" i="27" s="1"/>
  <c r="J139" i="27" s="1"/>
  <c r="K137" i="27" s="1"/>
  <c r="K139" i="27" s="1"/>
  <c r="K44" i="27"/>
  <c r="B137" i="29" l="1"/>
  <c r="Q48" i="32"/>
  <c r="N135" i="32"/>
  <c r="M44" i="29"/>
  <c r="N35" i="29"/>
  <c r="L135" i="29"/>
  <c r="K48" i="27"/>
  <c r="M44" i="27"/>
  <c r="M48" i="27" s="1"/>
  <c r="M134" i="27" s="1"/>
  <c r="L44" i="27"/>
  <c r="L48" i="27" s="1"/>
  <c r="L134" i="27" s="1"/>
  <c r="B145" i="29" l="1"/>
  <c r="B139" i="29"/>
  <c r="C137" i="29" s="1"/>
  <c r="C139" i="29" s="1"/>
  <c r="D137" i="29" s="1"/>
  <c r="D139" i="29" s="1"/>
  <c r="E137" i="29" s="1"/>
  <c r="E139" i="29" s="1"/>
  <c r="F137" i="29" s="1"/>
  <c r="F139" i="29" s="1"/>
  <c r="G137" i="29" s="1"/>
  <c r="G139" i="29" s="1"/>
  <c r="H137" i="29" s="1"/>
  <c r="H139" i="29" s="1"/>
  <c r="I137" i="29" s="1"/>
  <c r="I139" i="29" s="1"/>
  <c r="J137" i="29" s="1"/>
  <c r="J139" i="29" s="1"/>
  <c r="K137" i="29" s="1"/>
  <c r="K139" i="29" s="1"/>
  <c r="L137" i="29" s="1"/>
  <c r="L139" i="29" s="1"/>
  <c r="M137" i="29" s="1"/>
  <c r="P9" i="30"/>
  <c r="P9" i="33"/>
  <c r="L144" i="29"/>
  <c r="N144" i="29" s="1"/>
  <c r="L145" i="29"/>
  <c r="M48" i="29"/>
  <c r="N44" i="29"/>
  <c r="Q44" i="29" s="1"/>
  <c r="N44" i="27"/>
  <c r="K134" i="27"/>
  <c r="L137" i="27" s="1"/>
  <c r="L139" i="27" s="1"/>
  <c r="N48" i="27"/>
  <c r="N145" i="29" l="1"/>
  <c r="M135" i="29"/>
  <c r="M139" i="29" s="1"/>
  <c r="N48" i="29"/>
  <c r="N134" i="27"/>
  <c r="Q48" i="27"/>
  <c r="Q44" i="27"/>
  <c r="Q48" i="29" l="1"/>
  <c r="N135" i="29"/>
  <c r="P16" i="30" s="1"/>
  <c r="P136" i="25"/>
  <c r="O130" i="25"/>
  <c r="I130" i="25"/>
  <c r="H130" i="25"/>
  <c r="G130" i="25"/>
  <c r="F130" i="25"/>
  <c r="E130" i="25"/>
  <c r="D130" i="25"/>
  <c r="C130" i="25"/>
  <c r="B130" i="25"/>
  <c r="M128" i="25"/>
  <c r="L128" i="25"/>
  <c r="K128" i="25"/>
  <c r="J128" i="25"/>
  <c r="M127" i="25"/>
  <c r="M130" i="25" s="1"/>
  <c r="L127" i="25"/>
  <c r="K127" i="25"/>
  <c r="J127" i="25"/>
  <c r="N126" i="25"/>
  <c r="N125" i="25"/>
  <c r="N124" i="25"/>
  <c r="N123" i="25"/>
  <c r="N122" i="25"/>
  <c r="N121" i="25"/>
  <c r="N120" i="25"/>
  <c r="N119" i="25"/>
  <c r="N118" i="25"/>
  <c r="N116" i="25"/>
  <c r="M113" i="25"/>
  <c r="L113" i="25"/>
  <c r="K113" i="25"/>
  <c r="J113" i="25"/>
  <c r="I113" i="25"/>
  <c r="H113" i="25"/>
  <c r="G113" i="25"/>
  <c r="F113" i="25"/>
  <c r="E113" i="25"/>
  <c r="D113" i="25"/>
  <c r="C113" i="25"/>
  <c r="B113" i="25"/>
  <c r="N112" i="25"/>
  <c r="M108" i="25"/>
  <c r="L108" i="25"/>
  <c r="K108" i="25"/>
  <c r="J108" i="25"/>
  <c r="I108" i="25"/>
  <c r="H108" i="25"/>
  <c r="G108" i="25"/>
  <c r="F108" i="25"/>
  <c r="E108" i="25"/>
  <c r="D108" i="25"/>
  <c r="C108" i="25"/>
  <c r="B108" i="25"/>
  <c r="N107" i="25"/>
  <c r="N106" i="25"/>
  <c r="N105" i="25"/>
  <c r="N104" i="25"/>
  <c r="N103" i="25"/>
  <c r="N102" i="25"/>
  <c r="Q102" i="25" s="1"/>
  <c r="N101" i="25"/>
  <c r="N100" i="25"/>
  <c r="Q100" i="25" s="1"/>
  <c r="N99" i="25"/>
  <c r="O108" i="25"/>
  <c r="Q98" i="25"/>
  <c r="N97" i="25"/>
  <c r="N96" i="25"/>
  <c r="N95" i="25"/>
  <c r="N94" i="25"/>
  <c r="N93" i="25"/>
  <c r="M89" i="25"/>
  <c r="L89" i="25"/>
  <c r="J89" i="25"/>
  <c r="I89" i="25"/>
  <c r="H89" i="25"/>
  <c r="G89" i="25"/>
  <c r="F89" i="25"/>
  <c r="E89" i="25"/>
  <c r="D89" i="25"/>
  <c r="C89" i="25"/>
  <c r="B89" i="25"/>
  <c r="C88" i="25"/>
  <c r="B88" i="25"/>
  <c r="D88" i="25" s="1"/>
  <c r="O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N84" i="25"/>
  <c r="Q84" i="25" s="1"/>
  <c r="N83" i="25"/>
  <c r="N82" i="25"/>
  <c r="Q82" i="25" s="1"/>
  <c r="N81" i="25"/>
  <c r="N80" i="25"/>
  <c r="Q80" i="25" s="1"/>
  <c r="N79" i="25"/>
  <c r="N78" i="25"/>
  <c r="Q78" i="25" s="1"/>
  <c r="O75" i="25"/>
  <c r="K75" i="25"/>
  <c r="J75" i="25"/>
  <c r="F75" i="25"/>
  <c r="E75" i="25"/>
  <c r="M75" i="25"/>
  <c r="L75" i="25"/>
  <c r="I75" i="25"/>
  <c r="H75" i="25"/>
  <c r="G75" i="25"/>
  <c r="D75" i="25"/>
  <c r="C75" i="25"/>
  <c r="N74" i="25"/>
  <c r="Q74" i="25" s="1"/>
  <c r="N73" i="25"/>
  <c r="N72" i="25"/>
  <c r="Q72" i="25" s="1"/>
  <c r="N71" i="25"/>
  <c r="Q71" i="25" s="1"/>
  <c r="N70" i="25"/>
  <c r="N69" i="25"/>
  <c r="N68" i="25"/>
  <c r="N67" i="25"/>
  <c r="N66" i="25"/>
  <c r="N65" i="25"/>
  <c r="N64" i="25"/>
  <c r="Q63" i="25"/>
  <c r="M60" i="25"/>
  <c r="L60" i="25"/>
  <c r="K60" i="25"/>
  <c r="J60" i="25"/>
  <c r="I60" i="25"/>
  <c r="H60" i="25"/>
  <c r="F60" i="25"/>
  <c r="E60" i="25"/>
  <c r="D60" i="25"/>
  <c r="C60" i="25"/>
  <c r="B60" i="25"/>
  <c r="G59" i="25"/>
  <c r="N59" i="25" s="1"/>
  <c r="N58" i="25"/>
  <c r="N57" i="25"/>
  <c r="Q57" i="25" s="1"/>
  <c r="N56" i="25"/>
  <c r="N55" i="25"/>
  <c r="Q55" i="25" s="1"/>
  <c r="N54" i="25"/>
  <c r="N53" i="25"/>
  <c r="Q53" i="25" s="1"/>
  <c r="N52" i="25"/>
  <c r="M47" i="25"/>
  <c r="L47" i="25"/>
  <c r="F47" i="25"/>
  <c r="E47" i="25"/>
  <c r="D47" i="25"/>
  <c r="C47" i="25"/>
  <c r="B47" i="25"/>
  <c r="N46" i="25"/>
  <c r="O44" i="25"/>
  <c r="I44" i="25"/>
  <c r="H44" i="25"/>
  <c r="G44" i="25"/>
  <c r="D44" i="25"/>
  <c r="M43" i="25"/>
  <c r="M44" i="25" s="1"/>
  <c r="L43" i="25"/>
  <c r="L44" i="25" s="1"/>
  <c r="K43" i="25"/>
  <c r="K44" i="25" s="1"/>
  <c r="J43" i="25"/>
  <c r="J44" i="25" s="1"/>
  <c r="F43" i="25"/>
  <c r="F44" i="25" s="1"/>
  <c r="E43" i="25"/>
  <c r="E44" i="25" s="1"/>
  <c r="C43" i="25"/>
  <c r="C44" i="25" s="1"/>
  <c r="B43" i="25"/>
  <c r="B44" i="25" s="1"/>
  <c r="N42" i="25"/>
  <c r="N41" i="25"/>
  <c r="N40" i="25"/>
  <c r="N38" i="25"/>
  <c r="N37" i="25"/>
  <c r="N36" i="25"/>
  <c r="N35" i="25"/>
  <c r="N34" i="25"/>
  <c r="N33" i="25"/>
  <c r="Q32" i="25"/>
  <c r="N31" i="25"/>
  <c r="N30" i="25"/>
  <c r="N29" i="25"/>
  <c r="N28" i="25"/>
  <c r="N27" i="25"/>
  <c r="N26" i="25"/>
  <c r="O23" i="25"/>
  <c r="E23" i="25"/>
  <c r="D23" i="25"/>
  <c r="N22" i="25"/>
  <c r="N21" i="25"/>
  <c r="M20" i="25"/>
  <c r="M23" i="25" s="1"/>
  <c r="L20" i="25"/>
  <c r="L23" i="25" s="1"/>
  <c r="K20" i="25"/>
  <c r="K23" i="25" s="1"/>
  <c r="J20" i="25"/>
  <c r="J23" i="25" s="1"/>
  <c r="I20" i="25"/>
  <c r="I23" i="25" s="1"/>
  <c r="H20" i="25"/>
  <c r="H23" i="25" s="1"/>
  <c r="G20" i="25"/>
  <c r="G23" i="25" s="1"/>
  <c r="F20" i="25"/>
  <c r="F23" i="25" s="1"/>
  <c r="C20" i="25"/>
  <c r="C23" i="25" s="1"/>
  <c r="B20" i="25"/>
  <c r="O17" i="25"/>
  <c r="K17" i="25"/>
  <c r="J17" i="25"/>
  <c r="E17" i="25"/>
  <c r="D17" i="25"/>
  <c r="B17" i="25"/>
  <c r="L17" i="25"/>
  <c r="F17" i="25"/>
  <c r="I17" i="25"/>
  <c r="H17" i="25"/>
  <c r="G17" i="25"/>
  <c r="C17" i="25"/>
  <c r="M17" i="25"/>
  <c r="O11" i="25"/>
  <c r="M11" i="25"/>
  <c r="L11" i="25"/>
  <c r="K11" i="25"/>
  <c r="J11" i="25"/>
  <c r="G11" i="25"/>
  <c r="F11" i="25"/>
  <c r="E11" i="25"/>
  <c r="D11" i="25"/>
  <c r="N10" i="25"/>
  <c r="N9" i="25"/>
  <c r="N8" i="25"/>
  <c r="N7" i="25"/>
  <c r="I11" i="25"/>
  <c r="H11" i="25"/>
  <c r="C11" i="25"/>
  <c r="B11" i="25"/>
  <c r="P147" i="24"/>
  <c r="O141" i="24"/>
  <c r="I141" i="24"/>
  <c r="H141" i="24"/>
  <c r="G141" i="24"/>
  <c r="F141" i="24"/>
  <c r="E141" i="24"/>
  <c r="D141" i="24"/>
  <c r="C141" i="24"/>
  <c r="B141" i="24"/>
  <c r="M138" i="24"/>
  <c r="L138" i="24"/>
  <c r="K138" i="24"/>
  <c r="J138" i="24"/>
  <c r="M137" i="24"/>
  <c r="L137" i="24"/>
  <c r="L141" i="24" s="1"/>
  <c r="K137" i="24"/>
  <c r="K141" i="24" s="1"/>
  <c r="J137" i="24"/>
  <c r="N136" i="24"/>
  <c r="R136" i="24" s="1"/>
  <c r="N135" i="24"/>
  <c r="R135" i="24" s="1"/>
  <c r="N134" i="24"/>
  <c r="R134" i="24" s="1"/>
  <c r="N133" i="24"/>
  <c r="R133" i="24" s="1"/>
  <c r="N132" i="24"/>
  <c r="R132" i="24" s="1"/>
  <c r="N131" i="24"/>
  <c r="R131" i="24" s="1"/>
  <c r="N130" i="24"/>
  <c r="R130" i="24" s="1"/>
  <c r="N129" i="24"/>
  <c r="R129" i="24" s="1"/>
  <c r="N128" i="24"/>
  <c r="M141" i="24" s="1"/>
  <c r="N127" i="24"/>
  <c r="R127" i="24" s="1"/>
  <c r="N126" i="24"/>
  <c r="R126" i="24" s="1"/>
  <c r="N125" i="24"/>
  <c r="Q125" i="24" s="1"/>
  <c r="M122" i="24"/>
  <c r="L122" i="24"/>
  <c r="K122" i="24"/>
  <c r="J122" i="24"/>
  <c r="I122" i="24"/>
  <c r="H122" i="24"/>
  <c r="G122" i="24"/>
  <c r="F122" i="24"/>
  <c r="E122" i="24"/>
  <c r="D122" i="24"/>
  <c r="C122" i="24"/>
  <c r="B122" i="24"/>
  <c r="N122" i="24" s="1"/>
  <c r="R121" i="24"/>
  <c r="N121" i="24"/>
  <c r="Q121" i="24" s="1"/>
  <c r="M117" i="24"/>
  <c r="L117" i="24"/>
  <c r="K117" i="24"/>
  <c r="J117" i="24"/>
  <c r="I117" i="24"/>
  <c r="H117" i="24"/>
  <c r="G117" i="24"/>
  <c r="F117" i="24"/>
  <c r="E117" i="24"/>
  <c r="D117" i="24"/>
  <c r="C117" i="24"/>
  <c r="B117" i="24"/>
  <c r="N116" i="24"/>
  <c r="R116" i="24" s="1"/>
  <c r="N115" i="24"/>
  <c r="R115" i="24" s="1"/>
  <c r="N114" i="24"/>
  <c r="R114" i="24" s="1"/>
  <c r="N113" i="24"/>
  <c r="R113" i="24" s="1"/>
  <c r="N112" i="24"/>
  <c r="R112" i="24" s="1"/>
  <c r="N111" i="24"/>
  <c r="R111" i="24" s="1"/>
  <c r="N110" i="24"/>
  <c r="Q110" i="24" s="1"/>
  <c r="Q109" i="24"/>
  <c r="N109" i="24"/>
  <c r="R109" i="24" s="1"/>
  <c r="N108" i="24"/>
  <c r="Q108" i="24" s="1"/>
  <c r="X107" i="24"/>
  <c r="V107" i="24"/>
  <c r="U107" i="24"/>
  <c r="P107" i="24"/>
  <c r="O107" i="24"/>
  <c r="O117" i="24" s="1"/>
  <c r="N107" i="24"/>
  <c r="Q106" i="24"/>
  <c r="N105" i="24"/>
  <c r="R105" i="24" s="1"/>
  <c r="N104" i="24"/>
  <c r="R104" i="24" s="1"/>
  <c r="N103" i="24"/>
  <c r="R103" i="24" s="1"/>
  <c r="N102" i="24"/>
  <c r="R102" i="24" s="1"/>
  <c r="N101" i="24"/>
  <c r="Q101" i="24" s="1"/>
  <c r="N100" i="24"/>
  <c r="R100" i="24" s="1"/>
  <c r="R99" i="24"/>
  <c r="N99" i="24"/>
  <c r="Q99" i="24" s="1"/>
  <c r="R96" i="24"/>
  <c r="R95" i="24"/>
  <c r="M95" i="24"/>
  <c r="L95" i="24"/>
  <c r="J95" i="24"/>
  <c r="I95" i="24"/>
  <c r="H95" i="24"/>
  <c r="G95" i="24"/>
  <c r="F95" i="24"/>
  <c r="E95" i="24"/>
  <c r="D95" i="24"/>
  <c r="C95" i="24"/>
  <c r="B95" i="24"/>
  <c r="R94" i="24"/>
  <c r="C94" i="24"/>
  <c r="C96" i="24" s="1"/>
  <c r="B94" i="24"/>
  <c r="R93" i="24"/>
  <c r="R92" i="24"/>
  <c r="O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N90" i="24"/>
  <c r="R90" i="24" s="1"/>
  <c r="N89" i="24"/>
  <c r="Q89" i="24" s="1"/>
  <c r="N88" i="24"/>
  <c r="R88" i="24" s="1"/>
  <c r="N87" i="24"/>
  <c r="Q87" i="24" s="1"/>
  <c r="N86" i="24"/>
  <c r="R86" i="24" s="1"/>
  <c r="N85" i="24"/>
  <c r="Q85" i="24" s="1"/>
  <c r="N84" i="24"/>
  <c r="R84" i="24" s="1"/>
  <c r="O81" i="24"/>
  <c r="K81" i="24"/>
  <c r="J81" i="24"/>
  <c r="F81" i="24"/>
  <c r="E81" i="24"/>
  <c r="C81" i="24"/>
  <c r="M80" i="24"/>
  <c r="M81" i="24" s="1"/>
  <c r="L80" i="24"/>
  <c r="L81" i="24" s="1"/>
  <c r="I80" i="24"/>
  <c r="I81" i="24" s="1"/>
  <c r="H80" i="24"/>
  <c r="H81" i="24" s="1"/>
  <c r="G80" i="24"/>
  <c r="G81" i="24" s="1"/>
  <c r="D80" i="24"/>
  <c r="D81" i="24" s="1"/>
  <c r="C80" i="24"/>
  <c r="B80" i="24"/>
  <c r="B81" i="24" s="1"/>
  <c r="N79" i="24"/>
  <c r="R79" i="24" s="1"/>
  <c r="N78" i="24"/>
  <c r="Q78" i="24" s="1"/>
  <c r="N77" i="24"/>
  <c r="R77" i="24" s="1"/>
  <c r="N76" i="24"/>
  <c r="Q76" i="24" s="1"/>
  <c r="N75" i="24"/>
  <c r="R75" i="24" s="1"/>
  <c r="N74" i="24"/>
  <c r="Q74" i="24" s="1"/>
  <c r="N73" i="24"/>
  <c r="R73" i="24" s="1"/>
  <c r="N71" i="24"/>
  <c r="R71" i="24" s="1"/>
  <c r="N70" i="24"/>
  <c r="R70" i="24" s="1"/>
  <c r="N69" i="24"/>
  <c r="R69" i="24" s="1"/>
  <c r="N68" i="24"/>
  <c r="R68" i="24" s="1"/>
  <c r="N67" i="24"/>
  <c r="R67" i="24" s="1"/>
  <c r="N66" i="24"/>
  <c r="R66" i="24" s="1"/>
  <c r="N65" i="24"/>
  <c r="R65" i="24" s="1"/>
  <c r="N64" i="24"/>
  <c r="R63" i="24"/>
  <c r="Q63" i="24"/>
  <c r="O60" i="24"/>
  <c r="M60" i="24"/>
  <c r="L60" i="24"/>
  <c r="K60" i="24"/>
  <c r="J60" i="24"/>
  <c r="I60" i="24"/>
  <c r="H60" i="24"/>
  <c r="F60" i="24"/>
  <c r="E60" i="24"/>
  <c r="E143" i="24" s="1"/>
  <c r="D60" i="24"/>
  <c r="D143" i="24" s="1"/>
  <c r="C60" i="24"/>
  <c r="B60" i="24"/>
  <c r="G59" i="24"/>
  <c r="G60" i="24" s="1"/>
  <c r="N58" i="24"/>
  <c r="Q58" i="24" s="1"/>
  <c r="Q57" i="24"/>
  <c r="N57" i="24"/>
  <c r="R57" i="24" s="1"/>
  <c r="N56" i="24"/>
  <c r="Q56" i="24" s="1"/>
  <c r="N55" i="24"/>
  <c r="R55" i="24" s="1"/>
  <c r="R54" i="24"/>
  <c r="N54" i="24"/>
  <c r="Q54" i="24" s="1"/>
  <c r="N53" i="24"/>
  <c r="R53" i="24" s="1"/>
  <c r="N52" i="24"/>
  <c r="Q52" i="24" s="1"/>
  <c r="M47" i="24"/>
  <c r="L47" i="24"/>
  <c r="F47" i="24"/>
  <c r="E47" i="24"/>
  <c r="D47" i="24"/>
  <c r="C47" i="24"/>
  <c r="B47" i="24"/>
  <c r="N47" i="24" s="1"/>
  <c r="N46" i="24"/>
  <c r="Q46" i="24" s="1"/>
  <c r="O44" i="24"/>
  <c r="I44" i="24"/>
  <c r="H44" i="24"/>
  <c r="G44" i="24"/>
  <c r="D44" i="24"/>
  <c r="M43" i="24"/>
  <c r="M44" i="24" s="1"/>
  <c r="L43" i="24"/>
  <c r="L44" i="24" s="1"/>
  <c r="K43" i="24"/>
  <c r="K44" i="24" s="1"/>
  <c r="J43" i="24"/>
  <c r="J44" i="24" s="1"/>
  <c r="F43" i="24"/>
  <c r="F44" i="24" s="1"/>
  <c r="E43" i="24"/>
  <c r="E44" i="24" s="1"/>
  <c r="C43" i="24"/>
  <c r="C44" i="24" s="1"/>
  <c r="B43" i="24"/>
  <c r="N42" i="24"/>
  <c r="R42" i="24" s="1"/>
  <c r="N41" i="24"/>
  <c r="R41" i="24" s="1"/>
  <c r="N40" i="24"/>
  <c r="R40" i="24" s="1"/>
  <c r="N38" i="24"/>
  <c r="Q38" i="24" s="1"/>
  <c r="N37" i="24"/>
  <c r="R37" i="24" s="1"/>
  <c r="N36" i="24"/>
  <c r="R36" i="24" s="1"/>
  <c r="N35" i="24"/>
  <c r="R35" i="24" s="1"/>
  <c r="N34" i="24"/>
  <c r="R34" i="24" s="1"/>
  <c r="N33" i="24"/>
  <c r="R33" i="24" s="1"/>
  <c r="R32" i="24"/>
  <c r="Q32" i="24"/>
  <c r="N31" i="24"/>
  <c r="Q31" i="24" s="1"/>
  <c r="N30" i="24"/>
  <c r="R30" i="24" s="1"/>
  <c r="N29" i="24"/>
  <c r="R29" i="24" s="1"/>
  <c r="N28" i="24"/>
  <c r="R28" i="24" s="1"/>
  <c r="N27" i="24"/>
  <c r="R27" i="24" s="1"/>
  <c r="N26" i="24"/>
  <c r="R26" i="24" s="1"/>
  <c r="O23" i="24"/>
  <c r="E23" i="24"/>
  <c r="D23" i="24"/>
  <c r="C23" i="24"/>
  <c r="N22" i="24"/>
  <c r="Q22" i="24" s="1"/>
  <c r="N21" i="24"/>
  <c r="R21" i="24" s="1"/>
  <c r="M20" i="24"/>
  <c r="M23" i="24" s="1"/>
  <c r="L20" i="24"/>
  <c r="L23" i="24" s="1"/>
  <c r="K20" i="24"/>
  <c r="K23" i="24" s="1"/>
  <c r="J20" i="24"/>
  <c r="J23" i="24" s="1"/>
  <c r="I20" i="24"/>
  <c r="I23" i="24" s="1"/>
  <c r="H20" i="24"/>
  <c r="H23" i="24" s="1"/>
  <c r="G20" i="24"/>
  <c r="G23" i="24" s="1"/>
  <c r="F20" i="24"/>
  <c r="F23" i="24" s="1"/>
  <c r="C20" i="24"/>
  <c r="B20" i="24"/>
  <c r="O17" i="24"/>
  <c r="M17" i="24"/>
  <c r="G17" i="24"/>
  <c r="E17" i="24"/>
  <c r="B17" i="24"/>
  <c r="I17" i="24"/>
  <c r="F17" i="24"/>
  <c r="D17" i="24"/>
  <c r="N16" i="24"/>
  <c r="R16" i="24" s="1"/>
  <c r="L17" i="24"/>
  <c r="K17" i="24"/>
  <c r="J17" i="24"/>
  <c r="H17" i="24"/>
  <c r="C17" i="24"/>
  <c r="N14" i="24"/>
  <c r="R14" i="24" s="1"/>
  <c r="O11" i="24"/>
  <c r="O48" i="24" s="1"/>
  <c r="N10" i="24"/>
  <c r="Q10" i="24" s="1"/>
  <c r="J9" i="24"/>
  <c r="N9" i="24" s="1"/>
  <c r="N8" i="24"/>
  <c r="R8" i="24" s="1"/>
  <c r="N7" i="24"/>
  <c r="R7" i="24" s="1"/>
  <c r="M6" i="24"/>
  <c r="M11" i="24" s="1"/>
  <c r="L6" i="24"/>
  <c r="L11" i="24" s="1"/>
  <c r="K6" i="24"/>
  <c r="K11" i="24" s="1"/>
  <c r="J6" i="24"/>
  <c r="J11" i="24" s="1"/>
  <c r="I6" i="24"/>
  <c r="I11" i="24" s="1"/>
  <c r="H6" i="24"/>
  <c r="H11" i="24" s="1"/>
  <c r="G6" i="24"/>
  <c r="G11" i="24" s="1"/>
  <c r="F6" i="24"/>
  <c r="F11" i="24" s="1"/>
  <c r="E6" i="24"/>
  <c r="E11" i="24" s="1"/>
  <c r="D6" i="24"/>
  <c r="D11" i="24" s="1"/>
  <c r="C6" i="24"/>
  <c r="C11" i="24" s="1"/>
  <c r="B6" i="24"/>
  <c r="B11" i="24" s="1"/>
  <c r="N128" i="25" l="1"/>
  <c r="N113" i="25"/>
  <c r="N20" i="25"/>
  <c r="Q20" i="25" s="1"/>
  <c r="Q22" i="25"/>
  <c r="E88" i="25"/>
  <c r="N47" i="25"/>
  <c r="Q47" i="25" s="1"/>
  <c r="G60" i="25"/>
  <c r="G132" i="25" s="1"/>
  <c r="Q38" i="25"/>
  <c r="Q52" i="25"/>
  <c r="B23" i="25"/>
  <c r="N23" i="25" s="1"/>
  <c r="Q23" i="25" s="1"/>
  <c r="Q56" i="25"/>
  <c r="K130" i="25"/>
  <c r="K132" i="25" s="1"/>
  <c r="Q70" i="25"/>
  <c r="B75" i="25"/>
  <c r="N75" i="25" s="1"/>
  <c r="Q75" i="25" s="1"/>
  <c r="M132" i="25"/>
  <c r="Q10" i="25"/>
  <c r="Q26" i="24"/>
  <c r="N43" i="24"/>
  <c r="Q75" i="24"/>
  <c r="R78" i="24"/>
  <c r="E94" i="24"/>
  <c r="E96" i="24" s="1"/>
  <c r="R125" i="24"/>
  <c r="Q21" i="24"/>
  <c r="R52" i="24"/>
  <c r="Q55" i="24"/>
  <c r="R110" i="24"/>
  <c r="N6" i="24"/>
  <c r="R6" i="24" s="1"/>
  <c r="N20" i="24"/>
  <c r="R20" i="24" s="1"/>
  <c r="R38" i="24"/>
  <c r="B44" i="24"/>
  <c r="N59" i="24"/>
  <c r="R59" i="24" s="1"/>
  <c r="R76" i="24"/>
  <c r="Q79" i="24"/>
  <c r="D94" i="24"/>
  <c r="F94" i="24" s="1"/>
  <c r="H94" i="24" s="1"/>
  <c r="Q126" i="24"/>
  <c r="Q53" i="24"/>
  <c r="R56" i="24"/>
  <c r="R108" i="24"/>
  <c r="Q111" i="24"/>
  <c r="R22" i="24"/>
  <c r="C143" i="24"/>
  <c r="I143" i="24"/>
  <c r="R74" i="24"/>
  <c r="Q77" i="24"/>
  <c r="R101" i="24"/>
  <c r="Q8" i="24"/>
  <c r="Q28" i="24"/>
  <c r="R10" i="24"/>
  <c r="Q30" i="24"/>
  <c r="Q58" i="25"/>
  <c r="R58" i="24"/>
  <c r="Q41" i="24"/>
  <c r="N138" i="24"/>
  <c r="J141" i="24"/>
  <c r="J143" i="24" s="1"/>
  <c r="L130" i="25"/>
  <c r="L132" i="25" s="1"/>
  <c r="N91" i="24"/>
  <c r="Q81" i="25"/>
  <c r="N85" i="25"/>
  <c r="Q85" i="25" s="1"/>
  <c r="Q79" i="25"/>
  <c r="Q83" i="25"/>
  <c r="Q84" i="24"/>
  <c r="R87" i="24"/>
  <c r="Q90" i="24"/>
  <c r="R85" i="24"/>
  <c r="Q88" i="24"/>
  <c r="Q86" i="24"/>
  <c r="R89" i="24"/>
  <c r="K48" i="25"/>
  <c r="E48" i="25"/>
  <c r="D48" i="25"/>
  <c r="D132" i="25"/>
  <c r="Q73" i="25"/>
  <c r="I132" i="25"/>
  <c r="H48" i="25"/>
  <c r="B143" i="24"/>
  <c r="Q100" i="24"/>
  <c r="R46" i="24"/>
  <c r="K48" i="24"/>
  <c r="H132" i="25"/>
  <c r="F132" i="25"/>
  <c r="E132" i="25"/>
  <c r="Q54" i="25"/>
  <c r="F48" i="25"/>
  <c r="G48" i="25"/>
  <c r="M48" i="25"/>
  <c r="J48" i="25"/>
  <c r="C48" i="25"/>
  <c r="C132" i="25"/>
  <c r="N108" i="25"/>
  <c r="Q108" i="25" s="1"/>
  <c r="I48" i="25"/>
  <c r="Q59" i="25"/>
  <c r="N44" i="25"/>
  <c r="Q9" i="25"/>
  <c r="N17" i="25"/>
  <c r="F88" i="25"/>
  <c r="D90" i="25"/>
  <c r="N11" i="25"/>
  <c r="B48" i="25"/>
  <c r="Q128" i="25"/>
  <c r="L48" i="25"/>
  <c r="E90" i="25"/>
  <c r="G88" i="25"/>
  <c r="O132" i="25"/>
  <c r="Q8" i="25"/>
  <c r="N15" i="25"/>
  <c r="Q26" i="25"/>
  <c r="Q28" i="25"/>
  <c r="Q30" i="25"/>
  <c r="Q41" i="25"/>
  <c r="N43" i="25"/>
  <c r="Q94" i="25"/>
  <c r="Q113" i="25"/>
  <c r="Q117" i="25"/>
  <c r="N16" i="25"/>
  <c r="B90" i="25"/>
  <c r="Q99" i="25"/>
  <c r="Q101" i="25"/>
  <c r="N14" i="25"/>
  <c r="Q21" i="25"/>
  <c r="Q36" i="25"/>
  <c r="Q46" i="25"/>
  <c r="C90" i="25"/>
  <c r="N127" i="25"/>
  <c r="J130" i="25"/>
  <c r="J132" i="25" s="1"/>
  <c r="N6" i="25"/>
  <c r="Q7" i="25"/>
  <c r="Q27" i="25"/>
  <c r="Q29" i="25"/>
  <c r="Q31" i="25"/>
  <c r="O48" i="25"/>
  <c r="Q93" i="25"/>
  <c r="Q112" i="25"/>
  <c r="Q116" i="25"/>
  <c r="L143" i="24"/>
  <c r="G143" i="24"/>
  <c r="N117" i="24"/>
  <c r="Q117" i="24" s="1"/>
  <c r="F143" i="24"/>
  <c r="D48" i="24"/>
  <c r="D145" i="24" s="1"/>
  <c r="J48" i="24"/>
  <c r="Q36" i="24"/>
  <c r="G48" i="24"/>
  <c r="M48" i="24"/>
  <c r="E48" i="24"/>
  <c r="E145" i="24" s="1"/>
  <c r="F48" i="24"/>
  <c r="H48" i="24"/>
  <c r="R47" i="24"/>
  <c r="Q47" i="24"/>
  <c r="R91" i="24"/>
  <c r="Q91" i="24"/>
  <c r="N17" i="24"/>
  <c r="R17" i="24" s="1"/>
  <c r="N44" i="24"/>
  <c r="Q44" i="24" s="1"/>
  <c r="L48" i="24"/>
  <c r="R9" i="24"/>
  <c r="Q9" i="24"/>
  <c r="K143" i="24"/>
  <c r="K145" i="24" s="1"/>
  <c r="R122" i="24"/>
  <c r="Q122" i="24"/>
  <c r="M143" i="24"/>
  <c r="Q138" i="24"/>
  <c r="R138" i="24"/>
  <c r="C48" i="24"/>
  <c r="C145" i="24" s="1"/>
  <c r="I48" i="24"/>
  <c r="I145" i="24" s="1"/>
  <c r="N11" i="24"/>
  <c r="Q43" i="24"/>
  <c r="R43" i="24"/>
  <c r="H143" i="24"/>
  <c r="N81" i="24"/>
  <c r="Q7" i="24"/>
  <c r="R31" i="24"/>
  <c r="Q59" i="24"/>
  <c r="R107" i="24"/>
  <c r="Y107" i="24" s="1"/>
  <c r="R128" i="24"/>
  <c r="O143" i="24"/>
  <c r="N80" i="24"/>
  <c r="N15" i="24"/>
  <c r="R15" i="24" s="1"/>
  <c r="B23" i="24"/>
  <c r="N60" i="24"/>
  <c r="Q60" i="24" s="1"/>
  <c r="B96" i="24"/>
  <c r="N137" i="24"/>
  <c r="Q27" i="24"/>
  <c r="Q29" i="24"/>
  <c r="O143" i="17"/>
  <c r="O141" i="17"/>
  <c r="I141" i="17"/>
  <c r="G117" i="17"/>
  <c r="H117" i="17"/>
  <c r="I117" i="17"/>
  <c r="J117" i="17"/>
  <c r="K117" i="17"/>
  <c r="L117" i="17"/>
  <c r="M117" i="17"/>
  <c r="F117" i="17"/>
  <c r="E117" i="17"/>
  <c r="D117" i="17"/>
  <c r="C117" i="17"/>
  <c r="N108" i="17"/>
  <c r="R108" i="17" s="1"/>
  <c r="O44" i="17"/>
  <c r="N40" i="17"/>
  <c r="R40" i="17" s="1"/>
  <c r="N38" i="17"/>
  <c r="O23" i="17"/>
  <c r="O17" i="17"/>
  <c r="O11" i="17"/>
  <c r="N102" i="17"/>
  <c r="N105" i="17"/>
  <c r="N103" i="17"/>
  <c r="N57" i="17"/>
  <c r="O60" i="17"/>
  <c r="O81" i="17"/>
  <c r="N60" i="25" l="1"/>
  <c r="Q60" i="25" s="1"/>
  <c r="E134" i="25"/>
  <c r="B132" i="25"/>
  <c r="B134" i="25" s="1"/>
  <c r="B138" i="25" s="1"/>
  <c r="C136" i="25" s="1"/>
  <c r="L134" i="25"/>
  <c r="M134" i="25"/>
  <c r="I134" i="25"/>
  <c r="D134" i="25"/>
  <c r="K134" i="25"/>
  <c r="Q20" i="24"/>
  <c r="D96" i="24"/>
  <c r="F96" i="24"/>
  <c r="Q6" i="24"/>
  <c r="G94" i="24"/>
  <c r="J94" i="24" s="1"/>
  <c r="F145" i="24"/>
  <c r="N141" i="24"/>
  <c r="J145" i="24"/>
  <c r="N130" i="25"/>
  <c r="Q130" i="25" s="1"/>
  <c r="C134" i="25"/>
  <c r="G145" i="24"/>
  <c r="H145" i="24"/>
  <c r="L145" i="24"/>
  <c r="H134" i="25"/>
  <c r="G134" i="25"/>
  <c r="F134" i="25"/>
  <c r="J134" i="25"/>
  <c r="R117" i="24"/>
  <c r="N48" i="25"/>
  <c r="Q44" i="25"/>
  <c r="Q43" i="25"/>
  <c r="Q11" i="25"/>
  <c r="Q6" i="25"/>
  <c r="Q127" i="25"/>
  <c r="F90" i="25"/>
  <c r="H88" i="25"/>
  <c r="O134" i="25"/>
  <c r="I88" i="25"/>
  <c r="G90" i="25"/>
  <c r="N143" i="24"/>
  <c r="Q143" i="24" s="1"/>
  <c r="M145" i="24"/>
  <c r="R44" i="24"/>
  <c r="R137" i="24"/>
  <c r="Q137" i="24"/>
  <c r="H96" i="24"/>
  <c r="R81" i="24"/>
  <c r="Q81" i="24"/>
  <c r="N23" i="24"/>
  <c r="B48" i="24"/>
  <c r="AB107" i="24"/>
  <c r="AC107" i="24"/>
  <c r="R60" i="24"/>
  <c r="R11" i="24"/>
  <c r="Q11" i="24"/>
  <c r="R80" i="24"/>
  <c r="Q80" i="24"/>
  <c r="O145" i="24"/>
  <c r="O48" i="17"/>
  <c r="O91" i="17"/>
  <c r="N132" i="25" l="1"/>
  <c r="Q132" i="25" s="1"/>
  <c r="G96" i="24"/>
  <c r="I94" i="24"/>
  <c r="K94" i="24" s="1"/>
  <c r="Q141" i="24"/>
  <c r="R141" i="24"/>
  <c r="C138" i="25"/>
  <c r="D136" i="25" s="1"/>
  <c r="D138" i="25" s="1"/>
  <c r="E136" i="25" s="1"/>
  <c r="E138" i="25" s="1"/>
  <c r="F136" i="25" s="1"/>
  <c r="F138" i="25" s="1"/>
  <c r="G136" i="25" s="1"/>
  <c r="G138" i="25" s="1"/>
  <c r="H136" i="25" s="1"/>
  <c r="H138" i="25" s="1"/>
  <c r="I136" i="25" s="1"/>
  <c r="I138" i="25" s="1"/>
  <c r="J136" i="25" s="1"/>
  <c r="J138" i="25" s="1"/>
  <c r="K136" i="25" s="1"/>
  <c r="K138" i="25" s="1"/>
  <c r="L136" i="25" s="1"/>
  <c r="L138" i="25" s="1"/>
  <c r="M136" i="25" s="1"/>
  <c r="M138" i="25" s="1"/>
  <c r="J88" i="25"/>
  <c r="H90" i="25"/>
  <c r="Q48" i="25"/>
  <c r="N134" i="25"/>
  <c r="K88" i="25"/>
  <c r="I90" i="25"/>
  <c r="R143" i="24"/>
  <c r="B145" i="24"/>
  <c r="B149" i="24" s="1"/>
  <c r="C147" i="24" s="1"/>
  <c r="C149" i="24" s="1"/>
  <c r="D147" i="24" s="1"/>
  <c r="D149" i="24" s="1"/>
  <c r="E147" i="24" s="1"/>
  <c r="E149" i="24" s="1"/>
  <c r="F147" i="24" s="1"/>
  <c r="F149" i="24" s="1"/>
  <c r="G147" i="24" s="1"/>
  <c r="G149" i="24" s="1"/>
  <c r="H147" i="24" s="1"/>
  <c r="H149" i="24" s="1"/>
  <c r="I147" i="24" s="1"/>
  <c r="I149" i="24" s="1"/>
  <c r="J147" i="24" s="1"/>
  <c r="J149" i="24" s="1"/>
  <c r="K147" i="24" s="1"/>
  <c r="K149" i="24" s="1"/>
  <c r="L147" i="24" s="1"/>
  <c r="L149" i="24" s="1"/>
  <c r="M147" i="24" s="1"/>
  <c r="M149" i="24" s="1"/>
  <c r="N48" i="24"/>
  <c r="L94" i="24"/>
  <c r="L96" i="24" s="1"/>
  <c r="J96" i="24"/>
  <c r="Q23" i="24"/>
  <c r="R23" i="24"/>
  <c r="I96" i="24"/>
  <c r="N104" i="17"/>
  <c r="R104" i="17" s="1"/>
  <c r="N113" i="17"/>
  <c r="R113" i="17" s="1"/>
  <c r="N107" i="17"/>
  <c r="B117" i="17"/>
  <c r="N116" i="17"/>
  <c r="R116" i="17" s="1"/>
  <c r="N114" i="17"/>
  <c r="R114" i="17" s="1"/>
  <c r="R105" i="17"/>
  <c r="R103" i="17"/>
  <c r="R102" i="17"/>
  <c r="N101" i="17"/>
  <c r="N100" i="17"/>
  <c r="N99" i="17"/>
  <c r="N64" i="17"/>
  <c r="N70" i="17"/>
  <c r="N135" i="17"/>
  <c r="R135" i="17" s="1"/>
  <c r="N136" i="17"/>
  <c r="R136" i="17" s="1"/>
  <c r="E81" i="17"/>
  <c r="F81" i="17"/>
  <c r="J81" i="17"/>
  <c r="K81" i="17"/>
  <c r="D44" i="17"/>
  <c r="G44" i="17"/>
  <c r="H44" i="17"/>
  <c r="I44" i="17"/>
  <c r="R32" i="17"/>
  <c r="N35" i="17"/>
  <c r="R35" i="17" s="1"/>
  <c r="N34" i="17"/>
  <c r="R34" i="17" s="1"/>
  <c r="N33" i="17"/>
  <c r="R33" i="17" s="1"/>
  <c r="N37" i="17"/>
  <c r="R37" i="17" s="1"/>
  <c r="N36" i="17"/>
  <c r="L88" i="25" l="1"/>
  <c r="L90" i="25" s="1"/>
  <c r="J90" i="25"/>
  <c r="K90" i="25"/>
  <c r="M88" i="25"/>
  <c r="M90" i="25" s="1"/>
  <c r="K96" i="24"/>
  <c r="M94" i="24"/>
  <c r="M96" i="24" s="1"/>
  <c r="Q48" i="24"/>
  <c r="N145" i="24"/>
  <c r="R145" i="24" s="1"/>
  <c r="R48" i="24"/>
  <c r="J9" i="17"/>
  <c r="N112" i="17" l="1"/>
  <c r="R112" i="17" s="1"/>
  <c r="N115" i="17" l="1"/>
  <c r="R115" i="17" s="1"/>
  <c r="G141" i="17"/>
  <c r="D141" i="17"/>
  <c r="N126" i="17"/>
  <c r="H141" i="17"/>
  <c r="F141" i="17"/>
  <c r="E141" i="17"/>
  <c r="C141" i="17"/>
  <c r="B141" i="17"/>
  <c r="N130" i="17"/>
  <c r="R130" i="17" s="1"/>
  <c r="N134" i="17"/>
  <c r="R134" i="17" s="1"/>
  <c r="N42" i="17"/>
  <c r="R42" i="17" s="1"/>
  <c r="G20" i="17"/>
  <c r="H20" i="17"/>
  <c r="I20" i="17"/>
  <c r="H23" i="17" l="1"/>
  <c r="Y10" i="14"/>
  <c r="Z10" i="14"/>
  <c r="AA10" i="14"/>
  <c r="AB10" i="14"/>
  <c r="AC10" i="14"/>
  <c r="AC16" i="14" s="1"/>
  <c r="AD10" i="14"/>
  <c r="AE10" i="14"/>
  <c r="AF10" i="14"/>
  <c r="X10" i="14"/>
  <c r="Z16" i="14"/>
  <c r="Z25" i="14" s="1"/>
  <c r="N29" i="17"/>
  <c r="R92" i="17"/>
  <c r="R93" i="17"/>
  <c r="R94" i="17"/>
  <c r="R95" i="17"/>
  <c r="R96" i="17"/>
  <c r="R100" i="17"/>
  <c r="R101" i="17"/>
  <c r="Q106" i="17"/>
  <c r="N121" i="17"/>
  <c r="Q121" i="17" s="1"/>
  <c r="N53" i="17"/>
  <c r="Q53" i="17" s="1"/>
  <c r="N54" i="17"/>
  <c r="Q54" i="17" s="1"/>
  <c r="N55" i="17"/>
  <c r="Q55" i="17" s="1"/>
  <c r="N56" i="17"/>
  <c r="Q56" i="17" s="1"/>
  <c r="Q57" i="17"/>
  <c r="N58" i="17"/>
  <c r="R58" i="17" s="1"/>
  <c r="N52" i="17"/>
  <c r="Q52" i="17" s="1"/>
  <c r="N27" i="17"/>
  <c r="R27" i="17" s="1"/>
  <c r="N28" i="17"/>
  <c r="Q28" i="17" s="1"/>
  <c r="N30" i="17"/>
  <c r="Q30" i="17" s="1"/>
  <c r="N31" i="17"/>
  <c r="Q31" i="17" s="1"/>
  <c r="Q36" i="17"/>
  <c r="R38" i="17"/>
  <c r="N26" i="17"/>
  <c r="Q26" i="17" s="1"/>
  <c r="N21" i="17"/>
  <c r="Q21" i="17" s="1"/>
  <c r="N22" i="17"/>
  <c r="Q22" i="17" s="1"/>
  <c r="N7" i="17"/>
  <c r="R7" i="17" s="1"/>
  <c r="N8" i="17"/>
  <c r="R8" i="17" s="1"/>
  <c r="N65" i="17"/>
  <c r="R65" i="17" s="1"/>
  <c r="N73" i="17"/>
  <c r="R73" i="17" s="1"/>
  <c r="N69" i="17"/>
  <c r="R69" i="17" s="1"/>
  <c r="V107" i="17"/>
  <c r="U107" i="17"/>
  <c r="D23" i="17"/>
  <c r="E23" i="17"/>
  <c r="G23" i="17"/>
  <c r="I23" i="17"/>
  <c r="V12" i="14"/>
  <c r="W12" i="14"/>
  <c r="X12" i="14"/>
  <c r="Y12" i="14"/>
  <c r="AG12" i="14" s="1"/>
  <c r="Z12" i="14"/>
  <c r="AA12" i="14"/>
  <c r="AB12" i="14"/>
  <c r="AC12" i="14"/>
  <c r="AD12" i="14"/>
  <c r="AE12" i="14"/>
  <c r="AF12" i="14"/>
  <c r="V9" i="14"/>
  <c r="W9" i="14"/>
  <c r="X9" i="14"/>
  <c r="Y9" i="14"/>
  <c r="AG9" i="14" s="1"/>
  <c r="Z9" i="14"/>
  <c r="AA9" i="14"/>
  <c r="AB9" i="14"/>
  <c r="AC9" i="14"/>
  <c r="AD9" i="14"/>
  <c r="AE9" i="14"/>
  <c r="AF9" i="14"/>
  <c r="U9" i="14"/>
  <c r="V8" i="14"/>
  <c r="W8" i="14"/>
  <c r="X8" i="14"/>
  <c r="Y8" i="14"/>
  <c r="Y16" i="14" s="1"/>
  <c r="Y25" i="14" s="1"/>
  <c r="Z8" i="14"/>
  <c r="AA8" i="14"/>
  <c r="AB8" i="14"/>
  <c r="AC8" i="14"/>
  <c r="AD8" i="14"/>
  <c r="AD16" i="14" s="1"/>
  <c r="AE8" i="14"/>
  <c r="AE16" i="14" s="1"/>
  <c r="AE25" i="14" s="1"/>
  <c r="AF8" i="14"/>
  <c r="AF21" i="14"/>
  <c r="AF23" i="14"/>
  <c r="AE21" i="14"/>
  <c r="AE23" i="14"/>
  <c r="AD21" i="14"/>
  <c r="AD23" i="14" s="1"/>
  <c r="AC21" i="14"/>
  <c r="AC23" i="14"/>
  <c r="AB21" i="14"/>
  <c r="AB23" i="14"/>
  <c r="AA21" i="14"/>
  <c r="AA23" i="14" s="1"/>
  <c r="Z21" i="14"/>
  <c r="Z23" i="14"/>
  <c r="Y21" i="14"/>
  <c r="Y23" i="14"/>
  <c r="AG11" i="14"/>
  <c r="AF5" i="14"/>
  <c r="AE5" i="14"/>
  <c r="AD5" i="14"/>
  <c r="AC5" i="14"/>
  <c r="AB5" i="14"/>
  <c r="AA5" i="14"/>
  <c r="Z5" i="14"/>
  <c r="Y5" i="14"/>
  <c r="X5" i="14"/>
  <c r="W5" i="14"/>
  <c r="V5" i="14"/>
  <c r="U5" i="14"/>
  <c r="AG4" i="14"/>
  <c r="W16" i="14"/>
  <c r="P147" i="17"/>
  <c r="V16" i="14"/>
  <c r="AF16" i="14"/>
  <c r="AF25" i="14" s="1"/>
  <c r="U16" i="14"/>
  <c r="AB16" i="14"/>
  <c r="AA16" i="14"/>
  <c r="AG5" i="14"/>
  <c r="D32" i="14"/>
  <c r="C4" i="14"/>
  <c r="C5" i="14" s="1"/>
  <c r="D31" i="14"/>
  <c r="D29" i="14"/>
  <c r="D33" i="14" s="1"/>
  <c r="D28" i="14"/>
  <c r="N79" i="17"/>
  <c r="Q79" i="17" s="1"/>
  <c r="N78" i="17"/>
  <c r="Q78" i="17" s="1"/>
  <c r="N77" i="17"/>
  <c r="Q77" i="17" s="1"/>
  <c r="N76" i="17"/>
  <c r="Q76" i="17" s="1"/>
  <c r="N75" i="17"/>
  <c r="Q75" i="17" s="1"/>
  <c r="N74" i="17"/>
  <c r="Q74" i="17" s="1"/>
  <c r="N71" i="17"/>
  <c r="R71" i="17" s="1"/>
  <c r="R70" i="17"/>
  <c r="N68" i="17"/>
  <c r="R68" i="17" s="1"/>
  <c r="N67" i="17"/>
  <c r="R67" i="17" s="1"/>
  <c r="N66" i="17"/>
  <c r="R66" i="17" s="1"/>
  <c r="D11" i="14"/>
  <c r="D10" i="14"/>
  <c r="L10" i="14"/>
  <c r="C6" i="21"/>
  <c r="C10" i="21"/>
  <c r="G14" i="21"/>
  <c r="F7" i="21"/>
  <c r="G15" i="21"/>
  <c r="C24" i="21"/>
  <c r="F8" i="21"/>
  <c r="D24" i="21"/>
  <c r="D3" i="20"/>
  <c r="F3" i="20"/>
  <c r="G3" i="20"/>
  <c r="H3" i="20"/>
  <c r="I3" i="20"/>
  <c r="J3" i="20"/>
  <c r="C4" i="20"/>
  <c r="E4" i="20"/>
  <c r="D4" i="20"/>
  <c r="C5" i="20"/>
  <c r="G5" i="20"/>
  <c r="H5" i="20"/>
  <c r="C6" i="20"/>
  <c r="G6" i="20"/>
  <c r="H6" i="20"/>
  <c r="D6" i="20"/>
  <c r="E6" i="20"/>
  <c r="D5" i="20"/>
  <c r="I4" i="20"/>
  <c r="J4" i="20"/>
  <c r="F6" i="21"/>
  <c r="F9" i="21"/>
  <c r="M10" i="14"/>
  <c r="Q10" i="14" s="1"/>
  <c r="Q16" i="14" s="1"/>
  <c r="I6" i="20"/>
  <c r="J6" i="20"/>
  <c r="I5" i="20"/>
  <c r="J5" i="20"/>
  <c r="E5" i="20"/>
  <c r="G4" i="20"/>
  <c r="H4" i="20"/>
  <c r="E13" i="19"/>
  <c r="E19" i="19"/>
  <c r="D13" i="19"/>
  <c r="D19" i="19"/>
  <c r="C13" i="19"/>
  <c r="C19" i="19"/>
  <c r="D9" i="19"/>
  <c r="I5" i="19"/>
  <c r="C9" i="19"/>
  <c r="D4" i="19"/>
  <c r="C3" i="19"/>
  <c r="I9" i="19"/>
  <c r="N41" i="17"/>
  <c r="Q41" i="17" s="1"/>
  <c r="G10" i="19"/>
  <c r="G5" i="19"/>
  <c r="G9" i="19"/>
  <c r="H10" i="19"/>
  <c r="I4" i="19"/>
  <c r="I6" i="19"/>
  <c r="G4" i="19"/>
  <c r="H5" i="19"/>
  <c r="H9" i="19"/>
  <c r="I10" i="19"/>
  <c r="I11" i="19"/>
  <c r="H4" i="19"/>
  <c r="H11" i="19"/>
  <c r="G11" i="19"/>
  <c r="G6" i="19"/>
  <c r="H6" i="19"/>
  <c r="M138" i="17"/>
  <c r="L138" i="17"/>
  <c r="K138" i="17"/>
  <c r="J138" i="17"/>
  <c r="M137" i="17"/>
  <c r="L137" i="17"/>
  <c r="K137" i="17"/>
  <c r="J137" i="17"/>
  <c r="M122" i="17"/>
  <c r="L122" i="17"/>
  <c r="K122" i="17"/>
  <c r="J122" i="17"/>
  <c r="I122" i="17"/>
  <c r="H122" i="17"/>
  <c r="G122" i="17"/>
  <c r="F122" i="17"/>
  <c r="E122" i="17"/>
  <c r="D122" i="17"/>
  <c r="C122" i="17"/>
  <c r="B122" i="17"/>
  <c r="N111" i="17"/>
  <c r="R111" i="17" s="1"/>
  <c r="N109" i="17"/>
  <c r="R109" i="17" s="1"/>
  <c r="X107" i="17"/>
  <c r="P107" i="17"/>
  <c r="O107" i="17"/>
  <c r="O117" i="17" s="1"/>
  <c r="M95" i="17"/>
  <c r="L95" i="17"/>
  <c r="J95" i="17"/>
  <c r="I95" i="17"/>
  <c r="H95" i="17"/>
  <c r="G95" i="17"/>
  <c r="F95" i="17"/>
  <c r="E95" i="17"/>
  <c r="D95" i="17"/>
  <c r="C95" i="17"/>
  <c r="B95" i="17"/>
  <c r="C94" i="17"/>
  <c r="B94" i="17"/>
  <c r="B96" i="17" s="1"/>
  <c r="J91" i="17"/>
  <c r="F91" i="17"/>
  <c r="I91" i="17"/>
  <c r="M80" i="17"/>
  <c r="M81" i="17" s="1"/>
  <c r="L80" i="17"/>
  <c r="L81" i="17" s="1"/>
  <c r="I80" i="17"/>
  <c r="I81" i="17" s="1"/>
  <c r="H80" i="17"/>
  <c r="H81" i="17" s="1"/>
  <c r="G80" i="17"/>
  <c r="G81" i="17" s="1"/>
  <c r="D80" i="17"/>
  <c r="D81" i="17" s="1"/>
  <c r="C80" i="17"/>
  <c r="C81" i="17" s="1"/>
  <c r="B80" i="17"/>
  <c r="B81" i="17" s="1"/>
  <c r="J60" i="17"/>
  <c r="H60" i="17"/>
  <c r="E60" i="17"/>
  <c r="B60" i="17"/>
  <c r="G59" i="17"/>
  <c r="G60" i="17" s="1"/>
  <c r="M60" i="17"/>
  <c r="L60" i="17"/>
  <c r="K60" i="17"/>
  <c r="I60" i="17"/>
  <c r="F60" i="17"/>
  <c r="D60" i="17"/>
  <c r="M47" i="17"/>
  <c r="L47" i="17"/>
  <c r="F47" i="17"/>
  <c r="E47" i="17"/>
  <c r="D47" i="17"/>
  <c r="C47" i="17"/>
  <c r="B47" i="17"/>
  <c r="M43" i="17"/>
  <c r="M44" i="17" s="1"/>
  <c r="L43" i="17"/>
  <c r="L44" i="17" s="1"/>
  <c r="K43" i="17"/>
  <c r="K44" i="17" s="1"/>
  <c r="J43" i="17"/>
  <c r="J44" i="17" s="1"/>
  <c r="F43" i="17"/>
  <c r="F44" i="17" s="1"/>
  <c r="E43" i="17"/>
  <c r="E44" i="17" s="1"/>
  <c r="C43" i="17"/>
  <c r="C44" i="17" s="1"/>
  <c r="B43" i="17"/>
  <c r="B44" i="17" s="1"/>
  <c r="M20" i="17"/>
  <c r="M23" i="17" s="1"/>
  <c r="L20" i="17"/>
  <c r="L23" i="17" s="1"/>
  <c r="K20" i="17"/>
  <c r="K23" i="17" s="1"/>
  <c r="J20" i="17"/>
  <c r="J23" i="17" s="1"/>
  <c r="F20" i="17"/>
  <c r="F23" i="17" s="1"/>
  <c r="C20" i="17"/>
  <c r="C23" i="17" s="1"/>
  <c r="B20" i="17"/>
  <c r="B23" i="17" s="1"/>
  <c r="B17" i="17"/>
  <c r="M16" i="17"/>
  <c r="L16" i="17"/>
  <c r="K16" i="17"/>
  <c r="J16" i="17"/>
  <c r="I16" i="17"/>
  <c r="H16" i="17"/>
  <c r="G16" i="17"/>
  <c r="F16" i="17"/>
  <c r="F17" i="17" s="1"/>
  <c r="E16" i="17"/>
  <c r="E17" i="17" s="1"/>
  <c r="D16" i="17"/>
  <c r="D17" i="17" s="1"/>
  <c r="C16" i="17"/>
  <c r="M15" i="17"/>
  <c r="L15" i="17"/>
  <c r="K15" i="17"/>
  <c r="I15" i="17"/>
  <c r="G15" i="17"/>
  <c r="C15" i="17"/>
  <c r="M14" i="17"/>
  <c r="N14" i="17" s="1"/>
  <c r="R14" i="17" s="1"/>
  <c r="N10" i="17"/>
  <c r="Q10" i="17" s="1"/>
  <c r="N9" i="17"/>
  <c r="M6" i="17"/>
  <c r="M11" i="17" s="1"/>
  <c r="L6" i="17"/>
  <c r="L11" i="17" s="1"/>
  <c r="K6" i="17"/>
  <c r="K11" i="17" s="1"/>
  <c r="J6" i="17"/>
  <c r="I6" i="17"/>
  <c r="I11" i="17" s="1"/>
  <c r="H6" i="17"/>
  <c r="H11" i="17" s="1"/>
  <c r="G6" i="17"/>
  <c r="G11" i="17" s="1"/>
  <c r="F6" i="17"/>
  <c r="F11" i="17" s="1"/>
  <c r="E6" i="17"/>
  <c r="E11" i="17" s="1"/>
  <c r="D6" i="17"/>
  <c r="D11" i="17" s="1"/>
  <c r="C6" i="17"/>
  <c r="C11" i="17" s="1"/>
  <c r="B6" i="17"/>
  <c r="B11" i="17" s="1"/>
  <c r="Y15" i="2"/>
  <c r="N86" i="17"/>
  <c r="Q86" i="17" s="1"/>
  <c r="N90" i="17"/>
  <c r="R90" i="17" s="1"/>
  <c r="C60" i="17"/>
  <c r="K91" i="17"/>
  <c r="M91" i="17"/>
  <c r="L91" i="17"/>
  <c r="N10" i="14"/>
  <c r="O10" i="14"/>
  <c r="P10" i="14"/>
  <c r="W32" i="2"/>
  <c r="W3" i="2"/>
  <c r="D13" i="14"/>
  <c r="J13" i="14" s="1"/>
  <c r="L13" i="14"/>
  <c r="D12" i="14"/>
  <c r="Q12" i="14"/>
  <c r="I8" i="14"/>
  <c r="J8" i="14"/>
  <c r="L8" i="14"/>
  <c r="M8" i="14"/>
  <c r="N8" i="14"/>
  <c r="O8" i="14"/>
  <c r="P8" i="14"/>
  <c r="H8" i="14"/>
  <c r="AS11" i="11"/>
  <c r="AP11" i="11"/>
  <c r="AM11" i="11"/>
  <c r="B15" i="16"/>
  <c r="AO11" i="11"/>
  <c r="AD25" i="11"/>
  <c r="AV12" i="11"/>
  <c r="AV11" i="11"/>
  <c r="AT11" i="11"/>
  <c r="AQ11" i="11"/>
  <c r="AN11" i="11"/>
  <c r="AK11" i="11"/>
  <c r="D9" i="14"/>
  <c r="AK58" i="11"/>
  <c r="C7" i="15"/>
  <c r="C6" i="15"/>
  <c r="C5" i="15"/>
  <c r="C4" i="15"/>
  <c r="AM61" i="11"/>
  <c r="AK12" i="11"/>
  <c r="C9" i="15"/>
  <c r="F8" i="14"/>
  <c r="G8" i="14"/>
  <c r="G16" i="14" s="1"/>
  <c r="E8" i="14"/>
  <c r="F9" i="14"/>
  <c r="G9" i="14"/>
  <c r="H9" i="14"/>
  <c r="I9" i="14"/>
  <c r="E9" i="14"/>
  <c r="P20" i="14"/>
  <c r="F20" i="14"/>
  <c r="G20" i="14"/>
  <c r="H20" i="14"/>
  <c r="I20" i="14"/>
  <c r="J20" i="14"/>
  <c r="K20" i="14"/>
  <c r="L20" i="14"/>
  <c r="M20" i="14"/>
  <c r="N20" i="14"/>
  <c r="O20" i="14"/>
  <c r="E20" i="14"/>
  <c r="AW59" i="11"/>
  <c r="AX21" i="11"/>
  <c r="AX23" i="11"/>
  <c r="AX24" i="11"/>
  <c r="AX42" i="11"/>
  <c r="AX43" i="11"/>
  <c r="AX51" i="11"/>
  <c r="AX52" i="11"/>
  <c r="AX56" i="11"/>
  <c r="AX64" i="11"/>
  <c r="AX74" i="11"/>
  <c r="AX79" i="11"/>
  <c r="AX85" i="11"/>
  <c r="AX91" i="11"/>
  <c r="AX93" i="11"/>
  <c r="AX98" i="11"/>
  <c r="AW51" i="11"/>
  <c r="AW52" i="11"/>
  <c r="AC9" i="11"/>
  <c r="AK88" i="11"/>
  <c r="AK87" i="11"/>
  <c r="AK86" i="11"/>
  <c r="AK84" i="11"/>
  <c r="AL82" i="11"/>
  <c r="AM82" i="11"/>
  <c r="AN82" i="11"/>
  <c r="AO82" i="11"/>
  <c r="AP82" i="11"/>
  <c r="AQ82" i="11"/>
  <c r="AR82" i="11"/>
  <c r="AS82" i="11"/>
  <c r="AT82" i="11"/>
  <c r="AU82" i="11"/>
  <c r="AV82" i="11"/>
  <c r="AA22" i="2"/>
  <c r="X22" i="2"/>
  <c r="U22" i="2"/>
  <c r="T22" i="2"/>
  <c r="R22" i="2"/>
  <c r="AB15" i="2"/>
  <c r="V15" i="2"/>
  <c r="W15" i="2"/>
  <c r="X15" i="2"/>
  <c r="Z15" i="2"/>
  <c r="AA15" i="2"/>
  <c r="U15" i="2"/>
  <c r="S15" i="2"/>
  <c r="Y14" i="2"/>
  <c r="Z14" i="2"/>
  <c r="AA14" i="2"/>
  <c r="AB14" i="2"/>
  <c r="S14" i="2"/>
  <c r="U14" i="2"/>
  <c r="V14" i="2"/>
  <c r="W14" i="2"/>
  <c r="X14" i="2"/>
  <c r="R14" i="2"/>
  <c r="Y13" i="2"/>
  <c r="Z13" i="2"/>
  <c r="AA13" i="2"/>
  <c r="AB13" i="2"/>
  <c r="T13" i="2"/>
  <c r="U13" i="2"/>
  <c r="V13" i="2"/>
  <c r="W13" i="2"/>
  <c r="X13" i="2"/>
  <c r="S13" i="2"/>
  <c r="R13" i="2"/>
  <c r="R15" i="2"/>
  <c r="X11" i="2"/>
  <c r="Y11" i="2"/>
  <c r="Z11" i="2"/>
  <c r="AA11" i="2"/>
  <c r="AB11" i="2"/>
  <c r="U11" i="2"/>
  <c r="V11" i="2"/>
  <c r="W11" i="2"/>
  <c r="R11" i="2"/>
  <c r="S11" i="2"/>
  <c r="T11" i="2"/>
  <c r="Q11" i="2"/>
  <c r="X32" i="2"/>
  <c r="X9" i="2"/>
  <c r="Y32" i="2"/>
  <c r="Y9" i="2"/>
  <c r="Z32" i="2"/>
  <c r="AA32" i="2"/>
  <c r="AA9" i="2"/>
  <c r="AB32" i="2"/>
  <c r="AB9" i="2"/>
  <c r="T32" i="2"/>
  <c r="T3" i="2"/>
  <c r="U32" i="2"/>
  <c r="U9" i="2"/>
  <c r="V32" i="2"/>
  <c r="V9" i="2"/>
  <c r="W9" i="2"/>
  <c r="R32" i="2"/>
  <c r="R9" i="2"/>
  <c r="S32" i="2"/>
  <c r="S9" i="2"/>
  <c r="Q32" i="2"/>
  <c r="Q9" i="2"/>
  <c r="AC40" i="2"/>
  <c r="AC39" i="2"/>
  <c r="Q41" i="2"/>
  <c r="Q4" i="2"/>
  <c r="R36" i="2"/>
  <c r="AL86" i="11"/>
  <c r="AQ86" i="11"/>
  <c r="U3" i="2"/>
  <c r="AO80" i="11"/>
  <c r="AL80" i="11"/>
  <c r="AS80" i="11"/>
  <c r="AQ80" i="11"/>
  <c r="AV80" i="11"/>
  <c r="AR80" i="11"/>
  <c r="AM80" i="11"/>
  <c r="AK80" i="11"/>
  <c r="AP80" i="11"/>
  <c r="AU80" i="11"/>
  <c r="S36" i="2"/>
  <c r="S3" i="2"/>
  <c r="AS86" i="11"/>
  <c r="R3" i="2"/>
  <c r="R16" i="2"/>
  <c r="AO86" i="11"/>
  <c r="AV86" i="11"/>
  <c r="AR86" i="11"/>
  <c r="AC41" i="2"/>
  <c r="AN86" i="11"/>
  <c r="AU86" i="11"/>
  <c r="AC32" i="2"/>
  <c r="AM86" i="11"/>
  <c r="AT86" i="11"/>
  <c r="AP86" i="11"/>
  <c r="Z9" i="2"/>
  <c r="R38" i="2"/>
  <c r="R41" i="2"/>
  <c r="AL87" i="11"/>
  <c r="S38" i="2"/>
  <c r="S41" i="2"/>
  <c r="R4" i="2"/>
  <c r="T36" i="2"/>
  <c r="AN80" i="11"/>
  <c r="AT80" i="11"/>
  <c r="AL76" i="11"/>
  <c r="AM76" i="11"/>
  <c r="AN76" i="11"/>
  <c r="AO76" i="11"/>
  <c r="AP76" i="11"/>
  <c r="AQ76" i="11"/>
  <c r="AR76" i="11"/>
  <c r="AS76" i="11"/>
  <c r="T38" i="2"/>
  <c r="T41" i="2"/>
  <c r="S4" i="2"/>
  <c r="U36" i="2"/>
  <c r="AN18" i="11"/>
  <c r="AO18" i="11"/>
  <c r="AP18" i="11"/>
  <c r="AQ18" i="11"/>
  <c r="AR18" i="11"/>
  <c r="AS18" i="11"/>
  <c r="AT18" i="11"/>
  <c r="AU18" i="11"/>
  <c r="AN17" i="11"/>
  <c r="AO17" i="11"/>
  <c r="AP17" i="11"/>
  <c r="AQ17" i="11"/>
  <c r="AR17" i="11"/>
  <c r="AS17" i="11"/>
  <c r="AT17" i="11"/>
  <c r="AU17" i="11"/>
  <c r="AN16" i="11"/>
  <c r="AO16" i="11"/>
  <c r="AP16" i="11"/>
  <c r="AQ16" i="11"/>
  <c r="AR16" i="11"/>
  <c r="AS16" i="11"/>
  <c r="AT16" i="11"/>
  <c r="AU16" i="11"/>
  <c r="U38" i="2"/>
  <c r="U41" i="2"/>
  <c r="T4" i="2"/>
  <c r="V36" i="2"/>
  <c r="W36" i="2"/>
  <c r="V38" i="2"/>
  <c r="U4" i="2"/>
  <c r="AA25" i="11"/>
  <c r="W38" i="2"/>
  <c r="V4" i="2"/>
  <c r="X36" i="2"/>
  <c r="W41" i="2"/>
  <c r="V41" i="2"/>
  <c r="Z11" i="11"/>
  <c r="AE25" i="11"/>
  <c r="X57" i="11"/>
  <c r="AD57" i="11"/>
  <c r="AX57" i="11"/>
  <c r="X11" i="11"/>
  <c r="U103" i="11"/>
  <c r="U48" i="11"/>
  <c r="U54" i="11"/>
  <c r="U62" i="11"/>
  <c r="U72" i="11"/>
  <c r="U76" i="11"/>
  <c r="U77" i="11"/>
  <c r="U89" i="11"/>
  <c r="U96" i="11"/>
  <c r="U8" i="11"/>
  <c r="U10" i="11"/>
  <c r="U11" i="11"/>
  <c r="U19" i="11"/>
  <c r="U25" i="11"/>
  <c r="U35" i="11"/>
  <c r="U36" i="11"/>
  <c r="U38" i="11"/>
  <c r="U39" i="11"/>
  <c r="T103" i="11"/>
  <c r="T48" i="11"/>
  <c r="T54" i="11"/>
  <c r="T61" i="11"/>
  <c r="T62" i="11"/>
  <c r="T72" i="11"/>
  <c r="T77" i="11"/>
  <c r="S21" i="2"/>
  <c r="T96" i="11"/>
  <c r="T8" i="11"/>
  <c r="T10" i="11"/>
  <c r="T11" i="11"/>
  <c r="T36" i="11"/>
  <c r="T16" i="11"/>
  <c r="T17" i="11"/>
  <c r="T18" i="11"/>
  <c r="T25" i="11"/>
  <c r="T38" i="11"/>
  <c r="T39" i="11"/>
  <c r="S103" i="11"/>
  <c r="S48" i="11"/>
  <c r="S53" i="11"/>
  <c r="S61" i="11"/>
  <c r="S62" i="11"/>
  <c r="S72" i="11"/>
  <c r="S76" i="11"/>
  <c r="S77" i="11"/>
  <c r="S89" i="11"/>
  <c r="S96" i="11"/>
  <c r="S8" i="11"/>
  <c r="S10" i="11"/>
  <c r="S16" i="11"/>
  <c r="AD16" i="11"/>
  <c r="AX16" i="11"/>
  <c r="S17" i="11"/>
  <c r="S18" i="11"/>
  <c r="S22" i="11"/>
  <c r="S25" i="11"/>
  <c r="S35" i="11"/>
  <c r="S36" i="11"/>
  <c r="S38" i="11"/>
  <c r="R103" i="11"/>
  <c r="R48" i="11"/>
  <c r="R53" i="11"/>
  <c r="R61" i="11"/>
  <c r="R62" i="11"/>
  <c r="R72" i="11"/>
  <c r="R77" i="11"/>
  <c r="R84" i="11"/>
  <c r="R96" i="11"/>
  <c r="R8" i="11"/>
  <c r="R10" i="11"/>
  <c r="R17" i="11"/>
  <c r="R19" i="11"/>
  <c r="R22" i="11"/>
  <c r="R25" i="11"/>
  <c r="R36" i="11"/>
  <c r="R38" i="11"/>
  <c r="M103" i="11"/>
  <c r="M48" i="11"/>
  <c r="M54" i="11"/>
  <c r="M61" i="11"/>
  <c r="M62" i="11"/>
  <c r="M65" i="11"/>
  <c r="M66" i="11"/>
  <c r="M67" i="11"/>
  <c r="M68" i="11"/>
  <c r="M69" i="11"/>
  <c r="M70" i="11"/>
  <c r="M71" i="11"/>
  <c r="M76" i="11"/>
  <c r="M77" i="11"/>
  <c r="M84" i="11"/>
  <c r="M87" i="11"/>
  <c r="M88" i="11"/>
  <c r="M96" i="11"/>
  <c r="M8" i="11"/>
  <c r="M10" i="11"/>
  <c r="M16" i="11"/>
  <c r="M17" i="11"/>
  <c r="M18" i="11"/>
  <c r="M25" i="11"/>
  <c r="M35" i="11"/>
  <c r="M36" i="11"/>
  <c r="M38" i="11"/>
  <c r="M39" i="11"/>
  <c r="L103" i="11"/>
  <c r="L48" i="11"/>
  <c r="L54" i="11"/>
  <c r="L61" i="11"/>
  <c r="L62" i="11"/>
  <c r="L66" i="11"/>
  <c r="L67" i="11"/>
  <c r="L68" i="11"/>
  <c r="L69" i="11"/>
  <c r="L70" i="11"/>
  <c r="L71" i="11"/>
  <c r="L76" i="11"/>
  <c r="L77" i="11"/>
  <c r="L32" i="2"/>
  <c r="L9" i="2"/>
  <c r="L82" i="11"/>
  <c r="L96" i="11"/>
  <c r="L8" i="11"/>
  <c r="L10" i="11"/>
  <c r="L19" i="11"/>
  <c r="L22" i="11"/>
  <c r="L25" i="11"/>
  <c r="L35" i="11"/>
  <c r="L36" i="11"/>
  <c r="L38" i="11"/>
  <c r="L39" i="11"/>
  <c r="K103" i="11"/>
  <c r="K54" i="11"/>
  <c r="K62" i="11"/>
  <c r="K72" i="11"/>
  <c r="K77" i="11"/>
  <c r="K82" i="11"/>
  <c r="K84" i="11"/>
  <c r="K88" i="11"/>
  <c r="K96" i="11"/>
  <c r="K8" i="11"/>
  <c r="K10" i="11"/>
  <c r="K19" i="11"/>
  <c r="K25" i="11"/>
  <c r="K29" i="11"/>
  <c r="N29" i="11"/>
  <c r="P29" i="11"/>
  <c r="K35" i="11"/>
  <c r="K38" i="11"/>
  <c r="J103" i="11"/>
  <c r="J48" i="11"/>
  <c r="J54" i="11"/>
  <c r="J62" i="11"/>
  <c r="J72" i="11"/>
  <c r="J77" i="11"/>
  <c r="J82" i="11"/>
  <c r="J85" i="11"/>
  <c r="N85" i="11"/>
  <c r="P85" i="11"/>
  <c r="J87" i="11"/>
  <c r="J88" i="11"/>
  <c r="J96" i="11"/>
  <c r="J10" i="11"/>
  <c r="J13" i="11"/>
  <c r="J19" i="11"/>
  <c r="J22" i="11"/>
  <c r="J25" i="11"/>
  <c r="J35" i="11"/>
  <c r="J36" i="11"/>
  <c r="J38" i="11"/>
  <c r="J109" i="11"/>
  <c r="V103" i="11"/>
  <c r="V48" i="11"/>
  <c r="V54" i="11"/>
  <c r="V61" i="11"/>
  <c r="V62" i="11"/>
  <c r="V72" i="11"/>
  <c r="V76" i="11"/>
  <c r="V77" i="11"/>
  <c r="V89" i="11"/>
  <c r="V93" i="11"/>
  <c r="V96" i="11"/>
  <c r="V10" i="11"/>
  <c r="V13" i="11"/>
  <c r="V19" i="11"/>
  <c r="V22" i="11"/>
  <c r="V25" i="11"/>
  <c r="V29" i="11"/>
  <c r="V36" i="11"/>
  <c r="V38" i="11"/>
  <c r="V39" i="11"/>
  <c r="W103" i="11"/>
  <c r="W53" i="11"/>
  <c r="W54" i="11"/>
  <c r="W61" i="11"/>
  <c r="W62" i="11"/>
  <c r="W72" i="11"/>
  <c r="W77" i="11"/>
  <c r="V21" i="2"/>
  <c r="W96" i="11"/>
  <c r="W10" i="11"/>
  <c r="W13" i="11"/>
  <c r="W36" i="11"/>
  <c r="W19" i="11"/>
  <c r="W25" i="11"/>
  <c r="B19" i="14"/>
  <c r="Q15" i="14"/>
  <c r="Q14" i="14"/>
  <c r="L5" i="14"/>
  <c r="E5" i="14"/>
  <c r="M5" i="14"/>
  <c r="G5" i="14"/>
  <c r="P5" i="14"/>
  <c r="O5" i="14"/>
  <c r="N5" i="14"/>
  <c r="I5" i="14"/>
  <c r="F5" i="14"/>
  <c r="AE114" i="11"/>
  <c r="AD114" i="11"/>
  <c r="AE103" i="11"/>
  <c r="O103" i="11"/>
  <c r="I103" i="11"/>
  <c r="H103" i="11"/>
  <c r="G103" i="11"/>
  <c r="F103" i="11"/>
  <c r="E103" i="11"/>
  <c r="D103" i="11"/>
  <c r="C103" i="11"/>
  <c r="B103" i="11"/>
  <c r="N102" i="11"/>
  <c r="P102" i="11"/>
  <c r="N101" i="11"/>
  <c r="P101" i="11"/>
  <c r="N100" i="11"/>
  <c r="P100" i="11"/>
  <c r="AD99" i="11"/>
  <c r="N99" i="11"/>
  <c r="P99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E96" i="11"/>
  <c r="AC96" i="11"/>
  <c r="AB96" i="11"/>
  <c r="AA96" i="11"/>
  <c r="Z96" i="11"/>
  <c r="Y96" i="11"/>
  <c r="X96" i="11"/>
  <c r="O96" i="11"/>
  <c r="I96" i="11"/>
  <c r="H96" i="11"/>
  <c r="G96" i="11"/>
  <c r="F96" i="11"/>
  <c r="E96" i="11"/>
  <c r="D96" i="11"/>
  <c r="C96" i="11"/>
  <c r="B96" i="11"/>
  <c r="AW95" i="11"/>
  <c r="AD95" i="11"/>
  <c r="N95" i="11"/>
  <c r="P95" i="11"/>
  <c r="AW94" i="11"/>
  <c r="AD94" i="11"/>
  <c r="N94" i="11"/>
  <c r="AG93" i="11"/>
  <c r="AW92" i="11"/>
  <c r="AD92" i="11"/>
  <c r="AX92" i="11"/>
  <c r="N92" i="11"/>
  <c r="P92" i="11"/>
  <c r="AE89" i="11"/>
  <c r="O89" i="11"/>
  <c r="I89" i="11"/>
  <c r="H89" i="11"/>
  <c r="G89" i="11"/>
  <c r="E89" i="11"/>
  <c r="C89" i="11"/>
  <c r="F88" i="11"/>
  <c r="D88" i="11"/>
  <c r="B88" i="11"/>
  <c r="F87" i="11"/>
  <c r="B87" i="11"/>
  <c r="B86" i="11"/>
  <c r="N86" i="11"/>
  <c r="P86" i="11"/>
  <c r="F84" i="11"/>
  <c r="D84" i="11"/>
  <c r="B84" i="11"/>
  <c r="AD83" i="11"/>
  <c r="P83" i="11"/>
  <c r="AD82" i="11"/>
  <c r="N81" i="11"/>
  <c r="AE77" i="11"/>
  <c r="AC76" i="11"/>
  <c r="AC77" i="11"/>
  <c r="AA77" i="11"/>
  <c r="Z77" i="11"/>
  <c r="O77" i="11"/>
  <c r="D77" i="11"/>
  <c r="C77" i="11"/>
  <c r="B76" i="11"/>
  <c r="B77" i="11"/>
  <c r="AV76" i="11"/>
  <c r="AU76" i="11"/>
  <c r="AK76" i="11"/>
  <c r="AB76" i="11"/>
  <c r="AB77" i="11"/>
  <c r="Y76" i="11"/>
  <c r="Y77" i="11"/>
  <c r="X76" i="11"/>
  <c r="X77" i="11"/>
  <c r="I76" i="11"/>
  <c r="I77" i="11"/>
  <c r="H76" i="11"/>
  <c r="H77" i="11"/>
  <c r="G76" i="11"/>
  <c r="G77" i="11"/>
  <c r="F76" i="11"/>
  <c r="F77" i="11"/>
  <c r="E76" i="11"/>
  <c r="E77" i="11"/>
  <c r="AH75" i="11"/>
  <c r="AD75" i="11"/>
  <c r="AX75" i="11"/>
  <c r="N75" i="11"/>
  <c r="P75" i="11"/>
  <c r="AS72" i="11"/>
  <c r="AE72" i="11"/>
  <c r="AC72" i="11"/>
  <c r="AB72" i="11"/>
  <c r="AA72" i="11"/>
  <c r="Z72" i="11"/>
  <c r="Y72" i="11"/>
  <c r="X72" i="11"/>
  <c r="P72" i="11"/>
  <c r="O72" i="11"/>
  <c r="AV71" i="11"/>
  <c r="AU71" i="11"/>
  <c r="AT71" i="11"/>
  <c r="AO71" i="11"/>
  <c r="AN71" i="11"/>
  <c r="AM71" i="11"/>
  <c r="AL71" i="11"/>
  <c r="AK71" i="11"/>
  <c r="AD71" i="11"/>
  <c r="F71" i="11"/>
  <c r="E71" i="11"/>
  <c r="B71" i="11"/>
  <c r="AV70" i="11"/>
  <c r="AU70" i="11"/>
  <c r="AT70" i="11"/>
  <c r="AT72" i="11"/>
  <c r="AQ70" i="11"/>
  <c r="AP70" i="11"/>
  <c r="AO70" i="11"/>
  <c r="AN70" i="11"/>
  <c r="AM70" i="11"/>
  <c r="AL70" i="11"/>
  <c r="AK70" i="11"/>
  <c r="AD70" i="11"/>
  <c r="AX70" i="11"/>
  <c r="H70" i="11"/>
  <c r="G70" i="11"/>
  <c r="F70" i="11"/>
  <c r="D70" i="11"/>
  <c r="C70" i="11"/>
  <c r="B70" i="11"/>
  <c r="AV69" i="11"/>
  <c r="AU69" i="11"/>
  <c r="AQ69" i="11"/>
  <c r="AP69" i="11"/>
  <c r="AO69" i="11"/>
  <c r="AN69" i="11"/>
  <c r="AM69" i="11"/>
  <c r="AL69" i="11"/>
  <c r="AK69" i="11"/>
  <c r="AD69" i="11"/>
  <c r="AX69" i="11"/>
  <c r="H69" i="11"/>
  <c r="G69" i="11"/>
  <c r="F69" i="11"/>
  <c r="E69" i="11"/>
  <c r="D69" i="11"/>
  <c r="B69" i="11"/>
  <c r="AV68" i="11"/>
  <c r="AU68" i="11"/>
  <c r="AQ68" i="11"/>
  <c r="AP68" i="11"/>
  <c r="AO68" i="11"/>
  <c r="AN68" i="11"/>
  <c r="AM68" i="11"/>
  <c r="AL68" i="11"/>
  <c r="AK68" i="11"/>
  <c r="AD68" i="11"/>
  <c r="AX68" i="11"/>
  <c r="H68" i="11"/>
  <c r="G68" i="11"/>
  <c r="F68" i="11"/>
  <c r="E68" i="11"/>
  <c r="D68" i="11"/>
  <c r="C68" i="11"/>
  <c r="B68" i="11"/>
  <c r="AV67" i="11"/>
  <c r="AU67" i="11"/>
  <c r="AQ67" i="11"/>
  <c r="AQ65" i="11"/>
  <c r="AQ66" i="11"/>
  <c r="AP67" i="11"/>
  <c r="AM67" i="11"/>
  <c r="AL67" i="11"/>
  <c r="AK67" i="11"/>
  <c r="AD67" i="11"/>
  <c r="H67" i="11"/>
  <c r="H65" i="11"/>
  <c r="G67" i="11"/>
  <c r="D67" i="11"/>
  <c r="B67" i="11"/>
  <c r="AV66" i="11"/>
  <c r="AU66" i="11"/>
  <c r="AP66" i="11"/>
  <c r="AO66" i="11"/>
  <c r="AN66" i="11"/>
  <c r="AL66" i="11"/>
  <c r="AK66" i="11"/>
  <c r="AD66" i="11"/>
  <c r="AX66" i="11"/>
  <c r="F66" i="11"/>
  <c r="E66" i="11"/>
  <c r="C66" i="11"/>
  <c r="B66" i="11"/>
  <c r="AV65" i="11"/>
  <c r="AR65" i="11"/>
  <c r="AN65" i="11"/>
  <c r="AM65" i="11"/>
  <c r="AL65" i="11"/>
  <c r="AD65" i="11"/>
  <c r="I65" i="11"/>
  <c r="I72" i="11"/>
  <c r="C65" i="11"/>
  <c r="AT62" i="11"/>
  <c r="AS62" i="11"/>
  <c r="AQ61" i="11"/>
  <c r="AQ62" i="11"/>
  <c r="AN62" i="11"/>
  <c r="AK61" i="11"/>
  <c r="AK62" i="11"/>
  <c r="AE62" i="11"/>
  <c r="AA62" i="11"/>
  <c r="Z62" i="11"/>
  <c r="O62" i="11"/>
  <c r="G61" i="11"/>
  <c r="G62" i="11"/>
  <c r="F62" i="11"/>
  <c r="E62" i="11"/>
  <c r="AV61" i="11"/>
  <c r="AV62" i="11"/>
  <c r="AU61" i="11"/>
  <c r="AR61" i="11"/>
  <c r="AR62" i="11"/>
  <c r="AP61" i="11"/>
  <c r="AP62" i="11"/>
  <c r="AO61" i="11"/>
  <c r="AO62" i="11"/>
  <c r="AM62" i="11"/>
  <c r="AL61" i="11"/>
  <c r="AL62" i="11"/>
  <c r="AC61" i="11"/>
  <c r="AC62" i="11"/>
  <c r="AB61" i="11"/>
  <c r="AB62" i="11"/>
  <c r="Y61" i="11"/>
  <c r="X61" i="11"/>
  <c r="I61" i="11"/>
  <c r="I62" i="11"/>
  <c r="H61" i="11"/>
  <c r="H62" i="11"/>
  <c r="D61" i="11"/>
  <c r="D62" i="11"/>
  <c r="C61" i="11"/>
  <c r="C62" i="11"/>
  <c r="B61" i="11"/>
  <c r="B62" i="11"/>
  <c r="AW60" i="11"/>
  <c r="AD60" i="11"/>
  <c r="N60" i="11"/>
  <c r="P60" i="11"/>
  <c r="AW58" i="11"/>
  <c r="AD58" i="11"/>
  <c r="N58" i="11"/>
  <c r="P58" i="11"/>
  <c r="AW57" i="11"/>
  <c r="N57" i="11"/>
  <c r="P57" i="11"/>
  <c r="AV48" i="11"/>
  <c r="AV54" i="11"/>
  <c r="AN48" i="11"/>
  <c r="AN54" i="11"/>
  <c r="AE54" i="11"/>
  <c r="O54" i="11"/>
  <c r="H54" i="11"/>
  <c r="D54" i="11"/>
  <c r="AR53" i="11"/>
  <c r="AP53" i="11"/>
  <c r="AL53" i="11"/>
  <c r="Y53" i="11"/>
  <c r="I53" i="11"/>
  <c r="I54" i="11"/>
  <c r="G53" i="11"/>
  <c r="G54" i="11"/>
  <c r="C53" i="11"/>
  <c r="B53" i="11"/>
  <c r="AW50" i="11"/>
  <c r="AD50" i="11"/>
  <c r="N50" i="11"/>
  <c r="P50" i="11"/>
  <c r="AW49" i="11"/>
  <c r="AD49" i="11"/>
  <c r="N49" i="11"/>
  <c r="P49" i="11"/>
  <c r="AU48" i="11"/>
  <c r="AU54" i="11"/>
  <c r="AT48" i="11"/>
  <c r="AT54" i="11"/>
  <c r="AS48" i="11"/>
  <c r="AS54" i="11"/>
  <c r="AR48" i="11"/>
  <c r="AQ48" i="11"/>
  <c r="AQ54" i="11"/>
  <c r="AP48" i="11"/>
  <c r="AO48" i="11"/>
  <c r="AO54" i="11"/>
  <c r="AM48" i="11"/>
  <c r="AM54" i="11"/>
  <c r="AL48" i="11"/>
  <c r="AK48" i="11"/>
  <c r="AK54" i="11"/>
  <c r="AC48" i="11"/>
  <c r="AC54" i="11"/>
  <c r="AB48" i="11"/>
  <c r="AB54" i="11"/>
  <c r="AA48" i="11"/>
  <c r="AA54" i="11"/>
  <c r="Z48" i="11"/>
  <c r="Z54" i="11"/>
  <c r="X48" i="11"/>
  <c r="X54" i="11"/>
  <c r="F48" i="11"/>
  <c r="F54" i="11"/>
  <c r="E48" i="11"/>
  <c r="E54" i="11"/>
  <c r="C48" i="11"/>
  <c r="B48" i="11"/>
  <c r="AW47" i="11"/>
  <c r="AD47" i="11"/>
  <c r="N47" i="11"/>
  <c r="P47" i="11"/>
  <c r="AW46" i="11"/>
  <c r="AD46" i="11"/>
  <c r="N46" i="11"/>
  <c r="P46" i="11"/>
  <c r="AW45" i="11"/>
  <c r="AD45" i="11"/>
  <c r="N45" i="11"/>
  <c r="P45" i="11"/>
  <c r="AD44" i="11"/>
  <c r="AX44" i="11"/>
  <c r="N44" i="11"/>
  <c r="P44" i="11"/>
  <c r="Q40" i="11"/>
  <c r="AV39" i="11"/>
  <c r="AU39" i="11"/>
  <c r="AO39" i="11"/>
  <c r="AN39" i="11"/>
  <c r="AM39" i="11"/>
  <c r="AL39" i="11"/>
  <c r="AK39" i="11"/>
  <c r="AC39" i="11"/>
  <c r="AB39" i="11"/>
  <c r="C39" i="11"/>
  <c r="B39" i="11"/>
  <c r="AV38" i="11"/>
  <c r="AU38" i="11"/>
  <c r="AT38" i="11"/>
  <c r="AS38" i="11"/>
  <c r="AR38" i="11"/>
  <c r="AO38" i="11"/>
  <c r="AN38" i="11"/>
  <c r="AM38" i="11"/>
  <c r="AL38" i="11"/>
  <c r="AK38" i="11"/>
  <c r="AC38" i="11"/>
  <c r="AB38" i="11"/>
  <c r="AA38" i="11"/>
  <c r="Z38" i="11"/>
  <c r="Y38" i="11"/>
  <c r="I38" i="11"/>
  <c r="F38" i="11"/>
  <c r="E38" i="11"/>
  <c r="D38" i="11"/>
  <c r="C38" i="11"/>
  <c r="B38" i="11"/>
  <c r="AE36" i="11"/>
  <c r="O36" i="11"/>
  <c r="I36" i="11"/>
  <c r="G35" i="11"/>
  <c r="G36" i="11"/>
  <c r="E36" i="11"/>
  <c r="D35" i="11"/>
  <c r="D36" i="11"/>
  <c r="C35" i="11"/>
  <c r="C36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Y35" i="11"/>
  <c r="Y36" i="11"/>
  <c r="H35" i="11"/>
  <c r="H36" i="11"/>
  <c r="F35" i="11"/>
  <c r="F36" i="11"/>
  <c r="B35" i="11"/>
  <c r="N34" i="11"/>
  <c r="P34" i="11"/>
  <c r="AW33" i="11"/>
  <c r="AD33" i="11"/>
  <c r="N33" i="11"/>
  <c r="P33" i="11"/>
  <c r="AW32" i="11"/>
  <c r="AD32" i="11"/>
  <c r="AX32" i="11"/>
  <c r="N32" i="11"/>
  <c r="P32" i="11"/>
  <c r="AW31" i="11"/>
  <c r="N31" i="11"/>
  <c r="P31" i="11"/>
  <c r="P30" i="11"/>
  <c r="AW29" i="11"/>
  <c r="AW28" i="11"/>
  <c r="AX28" i="11"/>
  <c r="N28" i="11"/>
  <c r="P28" i="11"/>
  <c r="AP25" i="11"/>
  <c r="AN25" i="11"/>
  <c r="AM25" i="11"/>
  <c r="O25" i="11"/>
  <c r="I22" i="11"/>
  <c r="I25" i="11"/>
  <c r="G25" i="11"/>
  <c r="F25" i="11"/>
  <c r="E25" i="11"/>
  <c r="D25" i="11"/>
  <c r="AV22" i="11"/>
  <c r="AV25" i="11"/>
  <c r="AU22" i="11"/>
  <c r="AU25" i="11"/>
  <c r="AT22" i="11"/>
  <c r="AT25" i="11"/>
  <c r="AS22" i="11"/>
  <c r="AS25" i="11"/>
  <c r="AR22" i="11"/>
  <c r="AR25" i="11"/>
  <c r="AQ22" i="11"/>
  <c r="AQ25" i="11"/>
  <c r="AO22" i="11"/>
  <c r="AO25" i="11"/>
  <c r="AL22" i="11"/>
  <c r="AL25" i="11"/>
  <c r="AK22" i="11"/>
  <c r="AK25" i="11"/>
  <c r="AC22" i="11"/>
  <c r="AC25" i="11"/>
  <c r="AB25" i="11"/>
  <c r="Z22" i="11"/>
  <c r="Z25" i="11"/>
  <c r="Y22" i="11"/>
  <c r="Y25" i="11"/>
  <c r="X25" i="11"/>
  <c r="H22" i="11"/>
  <c r="H25" i="11"/>
  <c r="C22" i="11"/>
  <c r="C25" i="11"/>
  <c r="B22" i="11"/>
  <c r="B25" i="11"/>
  <c r="AT19" i="11"/>
  <c r="AS19" i="11"/>
  <c r="AR19" i="11"/>
  <c r="AQ19" i="11"/>
  <c r="AE19" i="11"/>
  <c r="AC19" i="11"/>
  <c r="AB19" i="11"/>
  <c r="AA19" i="11"/>
  <c r="Z19" i="11"/>
  <c r="Y19" i="11"/>
  <c r="X19" i="11"/>
  <c r="O19" i="11"/>
  <c r="I18" i="11"/>
  <c r="I19" i="11"/>
  <c r="D17" i="11"/>
  <c r="D18" i="11"/>
  <c r="AV18" i="11"/>
  <c r="AP19" i="11"/>
  <c r="AN19" i="11"/>
  <c r="AM18" i="11"/>
  <c r="AL18" i="11"/>
  <c r="H18" i="11"/>
  <c r="H19" i="11"/>
  <c r="G18" i="11"/>
  <c r="G19" i="11"/>
  <c r="F18" i="11"/>
  <c r="F19" i="11"/>
  <c r="E18" i="11"/>
  <c r="AV17" i="11"/>
  <c r="AU19" i="11"/>
  <c r="AO19" i="11"/>
  <c r="AM17" i="11"/>
  <c r="AL17" i="11"/>
  <c r="AK17" i="11"/>
  <c r="AK19" i="11"/>
  <c r="E17" i="11"/>
  <c r="C17" i="11"/>
  <c r="B17" i="11"/>
  <c r="B19" i="11"/>
  <c r="AV16" i="11"/>
  <c r="AM16" i="11"/>
  <c r="AL16" i="11"/>
  <c r="C16" i="11"/>
  <c r="O13" i="11"/>
  <c r="AD12" i="11"/>
  <c r="AL3" i="11"/>
  <c r="N12" i="11"/>
  <c r="P12" i="11"/>
  <c r="H11" i="11"/>
  <c r="F11" i="11"/>
  <c r="E11" i="11"/>
  <c r="D11" i="11"/>
  <c r="B11" i="11"/>
  <c r="AV10" i="11"/>
  <c r="AU10" i="11"/>
  <c r="AT10" i="11"/>
  <c r="AS10" i="11"/>
  <c r="AR10" i="11"/>
  <c r="AP10" i="11"/>
  <c r="AO10" i="11"/>
  <c r="AN10" i="11"/>
  <c r="AM10" i="11"/>
  <c r="AL10" i="11"/>
  <c r="AK10" i="11"/>
  <c r="AC10" i="11"/>
  <c r="AB10" i="11"/>
  <c r="AA10" i="11"/>
  <c r="Z10" i="11"/>
  <c r="Z8" i="11"/>
  <c r="Y10" i="11"/>
  <c r="I10" i="11"/>
  <c r="G10" i="11"/>
  <c r="G13" i="11"/>
  <c r="F10" i="11"/>
  <c r="E10" i="11"/>
  <c r="D10" i="11"/>
  <c r="C10" i="11"/>
  <c r="B10" i="11"/>
  <c r="AW9" i="11"/>
  <c r="AD9" i="11"/>
  <c r="N9" i="11"/>
  <c r="P9" i="11"/>
  <c r="AV8" i="11"/>
  <c r="AU8" i="11"/>
  <c r="AT8" i="11"/>
  <c r="AS8" i="11"/>
  <c r="AR8" i="11"/>
  <c r="AQ8" i="11"/>
  <c r="AQ13" i="11"/>
  <c r="AP8" i="11"/>
  <c r="AO8" i="11"/>
  <c r="AN8" i="11"/>
  <c r="AM8" i="11"/>
  <c r="AL8" i="11"/>
  <c r="AK8" i="11"/>
  <c r="AC8" i="11"/>
  <c r="AB8" i="11"/>
  <c r="AA8" i="11"/>
  <c r="Y8" i="11"/>
  <c r="X8" i="11"/>
  <c r="I8" i="11"/>
  <c r="H8" i="11"/>
  <c r="E8" i="11"/>
  <c r="D8" i="11"/>
  <c r="C8" i="11"/>
  <c r="B8" i="11"/>
  <c r="C54" i="11"/>
  <c r="AR72" i="11"/>
  <c r="J5" i="14"/>
  <c r="B16" i="14"/>
  <c r="K5" i="14"/>
  <c r="I16" i="14"/>
  <c r="Q8" i="14"/>
  <c r="AW76" i="11"/>
  <c r="AW11" i="11"/>
  <c r="Q4" i="14"/>
  <c r="N16" i="14"/>
  <c r="O16" i="14"/>
  <c r="L16" i="14"/>
  <c r="P16" i="14"/>
  <c r="F16" i="14"/>
  <c r="AG28" i="11"/>
  <c r="AH28" i="11"/>
  <c r="AI28" i="11"/>
  <c r="AW44" i="11"/>
  <c r="Z3" i="2"/>
  <c r="V3" i="2"/>
  <c r="Q57" i="2"/>
  <c r="Q18" i="2"/>
  <c r="R21" i="2"/>
  <c r="T21" i="2"/>
  <c r="U21" i="2"/>
  <c r="W21" i="2"/>
  <c r="X21" i="2"/>
  <c r="Y21" i="2"/>
  <c r="AA21" i="2"/>
  <c r="AB21" i="2"/>
  <c r="Z22" i="2"/>
  <c r="Q62" i="2"/>
  <c r="AB3" i="2"/>
  <c r="D21" i="10"/>
  <c r="C21" i="10"/>
  <c r="D7" i="10"/>
  <c r="C7" i="10"/>
  <c r="D16" i="10"/>
  <c r="C16" i="10"/>
  <c r="K32" i="2"/>
  <c r="K3" i="2"/>
  <c r="J32" i="2"/>
  <c r="J9" i="2"/>
  <c r="J75" i="4"/>
  <c r="J11" i="2"/>
  <c r="C38" i="2"/>
  <c r="C41" i="2"/>
  <c r="C57" i="2"/>
  <c r="C18" i="2"/>
  <c r="K11" i="2"/>
  <c r="L11" i="2"/>
  <c r="C13" i="2"/>
  <c r="E13" i="2"/>
  <c r="I13" i="2"/>
  <c r="L13" i="2"/>
  <c r="N13" i="2"/>
  <c r="C14" i="2"/>
  <c r="E14" i="2"/>
  <c r="C15" i="2"/>
  <c r="E15" i="2"/>
  <c r="I15" i="2"/>
  <c r="L22" i="2"/>
  <c r="B62" i="2"/>
  <c r="L23" i="2"/>
  <c r="M32" i="2"/>
  <c r="M3" i="2"/>
  <c r="M11" i="2"/>
  <c r="I32" i="2"/>
  <c r="I11" i="2"/>
  <c r="H32" i="2"/>
  <c r="I16" i="2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B8" i="7"/>
  <c r="AC57" i="2"/>
  <c r="D32" i="2"/>
  <c r="D3" i="2"/>
  <c r="AC10" i="2"/>
  <c r="H11" i="2"/>
  <c r="G32" i="2"/>
  <c r="G3" i="2"/>
  <c r="G11" i="2"/>
  <c r="F32" i="2"/>
  <c r="F9" i="2"/>
  <c r="F75" i="4"/>
  <c r="F11" i="2"/>
  <c r="E32" i="2"/>
  <c r="E3" i="2"/>
  <c r="E11" i="2"/>
  <c r="B32" i="2"/>
  <c r="B9" i="2"/>
  <c r="B75" i="4"/>
  <c r="B4" i="2"/>
  <c r="C32" i="2"/>
  <c r="C3" i="2"/>
  <c r="B11" i="2"/>
  <c r="C11" i="2"/>
  <c r="D11" i="2"/>
  <c r="B41" i="2"/>
  <c r="B57" i="2"/>
  <c r="B18" i="2"/>
  <c r="C22" i="2"/>
  <c r="C30" i="5"/>
  <c r="C31" i="5"/>
  <c r="D31" i="5"/>
  <c r="D33" i="5"/>
  <c r="C22" i="5"/>
  <c r="C23" i="5"/>
  <c r="D22" i="5"/>
  <c r="D23" i="5"/>
  <c r="C17" i="5"/>
  <c r="C18" i="5"/>
  <c r="C19" i="5"/>
  <c r="D17" i="5"/>
  <c r="D18" i="5"/>
  <c r="D19" i="5"/>
  <c r="B17" i="5"/>
  <c r="B20" i="5"/>
  <c r="C9" i="5"/>
  <c r="C10" i="5"/>
  <c r="C11" i="5"/>
  <c r="C12" i="5"/>
  <c r="C13" i="5"/>
  <c r="D9" i="5"/>
  <c r="D10" i="5"/>
  <c r="D11" i="5"/>
  <c r="D12" i="5"/>
  <c r="D13" i="5"/>
  <c r="B10" i="5"/>
  <c r="B13" i="5"/>
  <c r="D92" i="5"/>
  <c r="D94" i="5"/>
  <c r="B45" i="5"/>
  <c r="B54" i="5"/>
  <c r="B46" i="5"/>
  <c r="B47" i="5"/>
  <c r="B48" i="5"/>
  <c r="B50" i="5"/>
  <c r="B51" i="5"/>
  <c r="C44" i="5"/>
  <c r="C45" i="5"/>
  <c r="C46" i="5"/>
  <c r="C47" i="5"/>
  <c r="C48" i="5"/>
  <c r="C49" i="5"/>
  <c r="C50" i="5"/>
  <c r="C51" i="5"/>
  <c r="C52" i="5"/>
  <c r="C53" i="5"/>
  <c r="D44" i="5"/>
  <c r="D45" i="5"/>
  <c r="D46" i="5"/>
  <c r="D47" i="5"/>
  <c r="D48" i="5"/>
  <c r="D49" i="5"/>
  <c r="D50" i="5"/>
  <c r="D51" i="5"/>
  <c r="D52" i="5"/>
  <c r="D53" i="5"/>
  <c r="C57" i="5"/>
  <c r="C58" i="5"/>
  <c r="C59" i="5"/>
  <c r="C60" i="5"/>
  <c r="D57" i="5"/>
  <c r="D58" i="5"/>
  <c r="D59" i="5"/>
  <c r="D60" i="5"/>
  <c r="C27" i="5"/>
  <c r="C28" i="5"/>
  <c r="C34" i="5"/>
  <c r="C35" i="5"/>
  <c r="C38" i="5"/>
  <c r="C39" i="5"/>
  <c r="C64" i="5"/>
  <c r="C65" i="5"/>
  <c r="C66" i="5"/>
  <c r="C67" i="5"/>
  <c r="C68" i="5"/>
  <c r="C69" i="5"/>
  <c r="C70" i="5"/>
  <c r="C74" i="5"/>
  <c r="C75" i="5"/>
  <c r="C78" i="5"/>
  <c r="C79" i="5"/>
  <c r="C80" i="5"/>
  <c r="C91" i="5"/>
  <c r="C92" i="5"/>
  <c r="C94" i="5"/>
  <c r="C96" i="5"/>
  <c r="C98" i="5"/>
  <c r="C99" i="5"/>
  <c r="C100" i="5"/>
  <c r="C101" i="5"/>
  <c r="D27" i="5"/>
  <c r="D28" i="5"/>
  <c r="D34" i="5"/>
  <c r="D35" i="5"/>
  <c r="D38" i="5"/>
  <c r="D39" i="5"/>
  <c r="D64" i="5"/>
  <c r="D65" i="5"/>
  <c r="D66" i="5"/>
  <c r="D67" i="5"/>
  <c r="D68" i="5"/>
  <c r="D69" i="5"/>
  <c r="D70" i="5"/>
  <c r="D74" i="5"/>
  <c r="D75" i="5"/>
  <c r="D78" i="5"/>
  <c r="D79" i="5"/>
  <c r="D80" i="5"/>
  <c r="D96" i="5"/>
  <c r="D98" i="5"/>
  <c r="D99" i="5"/>
  <c r="D100" i="5"/>
  <c r="D101" i="5"/>
  <c r="B80" i="5"/>
  <c r="B57" i="5"/>
  <c r="B61" i="5"/>
  <c r="B58" i="5"/>
  <c r="B59" i="5"/>
  <c r="B74" i="5"/>
  <c r="B76" i="5"/>
  <c r="B91" i="5"/>
  <c r="B92" i="5"/>
  <c r="B93" i="5"/>
  <c r="B97" i="5"/>
  <c r="B102" i="5"/>
  <c r="B98" i="5"/>
  <c r="B99" i="5"/>
  <c r="B100" i="5"/>
  <c r="B28" i="5"/>
  <c r="B30" i="5"/>
  <c r="B33" i="5"/>
  <c r="B31" i="5"/>
  <c r="B32" i="5"/>
  <c r="B34" i="5"/>
  <c r="M8" i="4"/>
  <c r="M10" i="4"/>
  <c r="M16" i="4"/>
  <c r="M17" i="4"/>
  <c r="M18" i="4"/>
  <c r="M22" i="4"/>
  <c r="M23" i="4"/>
  <c r="M33" i="4"/>
  <c r="M36" i="4"/>
  <c r="M37" i="4"/>
  <c r="M46" i="4"/>
  <c r="M50" i="4"/>
  <c r="M56" i="4"/>
  <c r="M57" i="4"/>
  <c r="M60" i="4"/>
  <c r="M61" i="4"/>
  <c r="M62" i="4"/>
  <c r="M63" i="4"/>
  <c r="M64" i="4"/>
  <c r="M65" i="4"/>
  <c r="M66" i="4"/>
  <c r="M71" i="4"/>
  <c r="M72" i="4"/>
  <c r="M77" i="4"/>
  <c r="M79" i="4"/>
  <c r="M80" i="4"/>
  <c r="M81" i="4"/>
  <c r="M82" i="4"/>
  <c r="M83" i="4"/>
  <c r="M90" i="4"/>
  <c r="M97" i="4"/>
  <c r="L8" i="4"/>
  <c r="L10" i="4"/>
  <c r="L17" i="4"/>
  <c r="L18" i="4"/>
  <c r="L19" i="4"/>
  <c r="L22" i="4"/>
  <c r="L23" i="4"/>
  <c r="L33" i="4"/>
  <c r="L36" i="4"/>
  <c r="L37" i="4"/>
  <c r="L46" i="4"/>
  <c r="L49" i="4"/>
  <c r="L50" i="4"/>
  <c r="L56" i="4"/>
  <c r="L57" i="4"/>
  <c r="L61" i="4"/>
  <c r="L62" i="4"/>
  <c r="L63" i="4"/>
  <c r="L64" i="4"/>
  <c r="L65" i="4"/>
  <c r="L66" i="4"/>
  <c r="L71" i="4"/>
  <c r="L72" i="4"/>
  <c r="L77" i="4"/>
  <c r="L80" i="4"/>
  <c r="L90" i="4"/>
  <c r="L97" i="4"/>
  <c r="K8" i="4"/>
  <c r="K10" i="4"/>
  <c r="K19" i="4"/>
  <c r="K22" i="4"/>
  <c r="K23" i="4"/>
  <c r="K33" i="4"/>
  <c r="K36" i="4"/>
  <c r="K46" i="4"/>
  <c r="K50" i="4"/>
  <c r="K57" i="4"/>
  <c r="K65" i="4"/>
  <c r="K66" i="4"/>
  <c r="K72" i="4"/>
  <c r="K77" i="4"/>
  <c r="K79" i="4"/>
  <c r="K80" i="4"/>
  <c r="K81" i="4"/>
  <c r="K82" i="4"/>
  <c r="K83" i="4"/>
  <c r="K90" i="4"/>
  <c r="K97" i="4"/>
  <c r="J8" i="4"/>
  <c r="J10" i="4"/>
  <c r="J19" i="4"/>
  <c r="J22" i="4"/>
  <c r="J23" i="4"/>
  <c r="J33" i="4"/>
  <c r="J36" i="4"/>
  <c r="J46" i="4"/>
  <c r="J50" i="4"/>
  <c r="J57" i="4"/>
  <c r="J67" i="4"/>
  <c r="J72" i="4"/>
  <c r="J77" i="4"/>
  <c r="J79" i="4"/>
  <c r="J80" i="4"/>
  <c r="J81" i="4"/>
  <c r="J82" i="4"/>
  <c r="J83" i="4"/>
  <c r="J90" i="4"/>
  <c r="J97" i="4"/>
  <c r="I8" i="4"/>
  <c r="I10" i="4"/>
  <c r="I11" i="4"/>
  <c r="I12" i="4"/>
  <c r="I18" i="4"/>
  <c r="I19" i="4"/>
  <c r="I22" i="4"/>
  <c r="I23" i="4"/>
  <c r="I33" i="4"/>
  <c r="I36" i="4"/>
  <c r="I42" i="4"/>
  <c r="I46" i="4"/>
  <c r="I49" i="4"/>
  <c r="I56" i="4"/>
  <c r="I57" i="4"/>
  <c r="I60" i="4"/>
  <c r="I65" i="4"/>
  <c r="I71" i="4"/>
  <c r="I72" i="4"/>
  <c r="I77" i="4"/>
  <c r="I80" i="4"/>
  <c r="I90" i="4"/>
  <c r="I97" i="4"/>
  <c r="H8" i="4"/>
  <c r="H11" i="4"/>
  <c r="H12" i="4"/>
  <c r="H18" i="4"/>
  <c r="H22" i="4"/>
  <c r="H23" i="4"/>
  <c r="H33" i="4"/>
  <c r="H42" i="4"/>
  <c r="H46" i="4"/>
  <c r="H56" i="4"/>
  <c r="H57" i="4"/>
  <c r="H60" i="4"/>
  <c r="H61" i="4"/>
  <c r="H62" i="4"/>
  <c r="H63" i="4"/>
  <c r="H64" i="4"/>
  <c r="H65" i="4"/>
  <c r="H71" i="4"/>
  <c r="H77" i="4"/>
  <c r="H79" i="4"/>
  <c r="H80" i="4"/>
  <c r="H81" i="4"/>
  <c r="H82" i="4"/>
  <c r="H83" i="4"/>
  <c r="H90" i="4"/>
  <c r="H97" i="4"/>
  <c r="G8" i="4"/>
  <c r="G10" i="4"/>
  <c r="G11" i="4"/>
  <c r="B11" i="4"/>
  <c r="C11" i="4"/>
  <c r="D11" i="4"/>
  <c r="E11" i="4"/>
  <c r="F11" i="4"/>
  <c r="G12" i="4"/>
  <c r="G18" i="4"/>
  <c r="G19" i="4"/>
  <c r="G23" i="4"/>
  <c r="G33" i="4"/>
  <c r="G42" i="4"/>
  <c r="G46" i="4"/>
  <c r="G49" i="4"/>
  <c r="G56" i="4"/>
  <c r="G57" i="4"/>
  <c r="G61" i="4"/>
  <c r="G62" i="4"/>
  <c r="G63" i="4"/>
  <c r="G64" i="4"/>
  <c r="G65" i="4"/>
  <c r="G71" i="4"/>
  <c r="G72" i="4"/>
  <c r="G77" i="4"/>
  <c r="G79" i="4"/>
  <c r="G80" i="4"/>
  <c r="G81" i="4"/>
  <c r="G82" i="4"/>
  <c r="G83" i="4"/>
  <c r="G90" i="4"/>
  <c r="G97" i="4"/>
  <c r="F8" i="4"/>
  <c r="F10" i="4"/>
  <c r="F12" i="4"/>
  <c r="F17" i="4"/>
  <c r="F18" i="4"/>
  <c r="F22" i="4"/>
  <c r="F23" i="4"/>
  <c r="F33" i="4"/>
  <c r="B33" i="4"/>
  <c r="C33" i="4"/>
  <c r="D33" i="4"/>
  <c r="E33" i="4"/>
  <c r="F36" i="4"/>
  <c r="F37" i="4"/>
  <c r="F42" i="4"/>
  <c r="F46" i="4"/>
  <c r="F56" i="4"/>
  <c r="F61" i="4"/>
  <c r="F63" i="4"/>
  <c r="F64" i="4"/>
  <c r="F65" i="4"/>
  <c r="F66" i="4"/>
  <c r="F71" i="4"/>
  <c r="F72" i="4"/>
  <c r="F77" i="4"/>
  <c r="F79" i="4"/>
  <c r="F80" i="4"/>
  <c r="F81" i="4"/>
  <c r="F82" i="4"/>
  <c r="F83" i="4"/>
  <c r="F90" i="4"/>
  <c r="F97" i="4"/>
  <c r="E8" i="4"/>
  <c r="E10" i="4"/>
  <c r="E12" i="4"/>
  <c r="E17" i="4"/>
  <c r="E18" i="4"/>
  <c r="E23" i="4"/>
  <c r="E36" i="4"/>
  <c r="E37" i="4"/>
  <c r="E42" i="4"/>
  <c r="E46" i="4"/>
  <c r="E57" i="4"/>
  <c r="E60" i="4"/>
  <c r="E61" i="4"/>
  <c r="E63" i="4"/>
  <c r="E64" i="4"/>
  <c r="E65" i="4"/>
  <c r="E66" i="4"/>
  <c r="E71" i="4"/>
  <c r="E72" i="4"/>
  <c r="E77" i="4"/>
  <c r="E80" i="4"/>
  <c r="E90" i="4"/>
  <c r="E97" i="4"/>
  <c r="D8" i="4"/>
  <c r="D10" i="4"/>
  <c r="D12" i="4"/>
  <c r="B12" i="4"/>
  <c r="C12" i="4"/>
  <c r="D16" i="4"/>
  <c r="D17" i="4"/>
  <c r="D18" i="4"/>
  <c r="D23" i="4"/>
  <c r="D36" i="4"/>
  <c r="D37" i="4"/>
  <c r="D42" i="4"/>
  <c r="D46" i="4"/>
  <c r="D56" i="4"/>
  <c r="D57" i="4"/>
  <c r="D60" i="4"/>
  <c r="D62" i="4"/>
  <c r="D63" i="4"/>
  <c r="D64" i="4"/>
  <c r="B64" i="4"/>
  <c r="C64" i="4"/>
  <c r="D65" i="4"/>
  <c r="D66" i="4"/>
  <c r="D72" i="4"/>
  <c r="D77" i="4"/>
  <c r="D79" i="4"/>
  <c r="D80" i="4"/>
  <c r="D81" i="4"/>
  <c r="D82" i="4"/>
  <c r="D83" i="4"/>
  <c r="D90" i="4"/>
  <c r="D97" i="4"/>
  <c r="C8" i="4"/>
  <c r="C10" i="4"/>
  <c r="C16" i="4"/>
  <c r="C17" i="4"/>
  <c r="C18" i="4"/>
  <c r="C22" i="4"/>
  <c r="C23" i="4"/>
  <c r="C36" i="4"/>
  <c r="C37" i="4"/>
  <c r="C42" i="4"/>
  <c r="C46" i="4"/>
  <c r="C49" i="4"/>
  <c r="C56" i="4"/>
  <c r="C57" i="4"/>
  <c r="C60" i="4"/>
  <c r="C61" i="4"/>
  <c r="C62" i="4"/>
  <c r="B62" i="4"/>
  <c r="C63" i="4"/>
  <c r="C65" i="4"/>
  <c r="C66" i="4"/>
  <c r="C72" i="4"/>
  <c r="C77" i="4"/>
  <c r="C80" i="4"/>
  <c r="C90" i="4"/>
  <c r="C97" i="4"/>
  <c r="B8" i="4"/>
  <c r="B10" i="4"/>
  <c r="B17" i="4"/>
  <c r="B19" i="4"/>
  <c r="B22" i="4"/>
  <c r="B23" i="4"/>
  <c r="B36" i="4"/>
  <c r="B37" i="4"/>
  <c r="B42" i="4"/>
  <c r="B46" i="4"/>
  <c r="B49" i="4"/>
  <c r="B56" i="4"/>
  <c r="B57" i="4"/>
  <c r="B61" i="4"/>
  <c r="B63" i="4"/>
  <c r="B65" i="4"/>
  <c r="B66" i="4"/>
  <c r="B71" i="4"/>
  <c r="B72" i="4"/>
  <c r="B77" i="4"/>
  <c r="B79" i="4"/>
  <c r="B80" i="4"/>
  <c r="B81" i="4"/>
  <c r="B82" i="4"/>
  <c r="B83" i="4"/>
  <c r="B90" i="4"/>
  <c r="B97" i="4"/>
  <c r="Q13" i="4"/>
  <c r="Q19" i="4"/>
  <c r="Q23" i="4"/>
  <c r="Q34" i="4"/>
  <c r="Q50" i="4"/>
  <c r="Q84" i="4"/>
  <c r="Q67" i="4"/>
  <c r="Q90" i="4"/>
  <c r="Q97" i="4"/>
  <c r="N9" i="4"/>
  <c r="P9" i="4"/>
  <c r="O23" i="4"/>
  <c r="N26" i="4"/>
  <c r="P26" i="4"/>
  <c r="N27" i="4"/>
  <c r="P27" i="4"/>
  <c r="N29" i="4"/>
  <c r="P29" i="4"/>
  <c r="N30" i="4"/>
  <c r="P30" i="4"/>
  <c r="N31" i="4"/>
  <c r="P31" i="4"/>
  <c r="N43" i="4"/>
  <c r="P43" i="4"/>
  <c r="N44" i="4"/>
  <c r="P44" i="4"/>
  <c r="N45" i="4"/>
  <c r="P45" i="4"/>
  <c r="N47" i="4"/>
  <c r="P47" i="4"/>
  <c r="N48" i="4"/>
  <c r="P48" i="4"/>
  <c r="N53" i="4"/>
  <c r="P53" i="4"/>
  <c r="N54" i="4"/>
  <c r="P54" i="4"/>
  <c r="N55" i="4"/>
  <c r="P55" i="4"/>
  <c r="N70" i="4"/>
  <c r="P70" i="4"/>
  <c r="N87" i="4"/>
  <c r="P87" i="4"/>
  <c r="N88" i="4"/>
  <c r="P88" i="4"/>
  <c r="N89" i="4"/>
  <c r="P89" i="4"/>
  <c r="O90" i="4"/>
  <c r="N93" i="4"/>
  <c r="P93" i="4"/>
  <c r="N94" i="4"/>
  <c r="N95" i="4"/>
  <c r="P95" i="4"/>
  <c r="N96" i="4"/>
  <c r="P96" i="4"/>
  <c r="O97" i="4"/>
  <c r="O13" i="4"/>
  <c r="O19" i="4"/>
  <c r="O34" i="4"/>
  <c r="O50" i="4"/>
  <c r="O67" i="4"/>
  <c r="P78" i="4"/>
  <c r="Q72" i="4"/>
  <c r="O72" i="4"/>
  <c r="O57" i="4"/>
  <c r="N57" i="2"/>
  <c r="L21" i="2"/>
  <c r="I21" i="2"/>
  <c r="C21" i="2"/>
  <c r="N10" i="2"/>
  <c r="N19" i="2"/>
  <c r="B27" i="5"/>
  <c r="B23" i="5"/>
  <c r="B24" i="5"/>
  <c r="B38" i="5"/>
  <c r="B79" i="5"/>
  <c r="B88" i="5"/>
  <c r="S16" i="2"/>
  <c r="Y103" i="11"/>
  <c r="X103" i="11"/>
  <c r="B94" i="5"/>
  <c r="B11" i="5"/>
  <c r="B87" i="5"/>
  <c r="B12" i="5"/>
  <c r="B84" i="5"/>
  <c r="B86" i="5"/>
  <c r="B70" i="5"/>
  <c r="B35" i="5"/>
  <c r="B39" i="5"/>
  <c r="B52" i="5"/>
  <c r="B49" i="5"/>
  <c r="B85" i="5"/>
  <c r="B9" i="5"/>
  <c r="B14" i="5"/>
  <c r="H3" i="2"/>
  <c r="B65" i="5"/>
  <c r="B75" i="5"/>
  <c r="B66" i="5"/>
  <c r="B81" i="5"/>
  <c r="B83" i="5"/>
  <c r="B69" i="5"/>
  <c r="B19" i="5"/>
  <c r="B60" i="5"/>
  <c r="B67" i="5"/>
  <c r="B64" i="5"/>
  <c r="B71" i="5"/>
  <c r="B18" i="5"/>
  <c r="B68" i="5"/>
  <c r="B41" i="5"/>
  <c r="X36" i="11"/>
  <c r="Z103" i="11"/>
  <c r="J21" i="14"/>
  <c r="V17" i="2"/>
  <c r="Z36" i="11"/>
  <c r="AA13" i="11"/>
  <c r="D67" i="4"/>
  <c r="F50" i="4"/>
  <c r="AU13" i="11"/>
  <c r="E7" i="10"/>
  <c r="E16" i="10"/>
  <c r="M21" i="14"/>
  <c r="X21" i="14"/>
  <c r="W21" i="14"/>
  <c r="V21" i="14"/>
  <c r="I67" i="4"/>
  <c r="L13" i="4"/>
  <c r="AD17" i="11"/>
  <c r="C20" i="5"/>
  <c r="N71" i="11"/>
  <c r="J13" i="4"/>
  <c r="C33" i="5"/>
  <c r="F72" i="11"/>
  <c r="AW70" i="11"/>
  <c r="E50" i="4"/>
  <c r="H13" i="4"/>
  <c r="H13" i="11"/>
  <c r="H40" i="11"/>
  <c r="AW10" i="11"/>
  <c r="X62" i="11"/>
  <c r="AU72" i="11"/>
  <c r="M13" i="11"/>
  <c r="N65" i="4"/>
  <c r="P65" i="4"/>
  <c r="AB13" i="11"/>
  <c r="AO13" i="11"/>
  <c r="C13" i="11"/>
  <c r="N42" i="4"/>
  <c r="P42" i="4"/>
  <c r="C13" i="4"/>
  <c r="I13" i="4"/>
  <c r="AP13" i="11"/>
  <c r="AS13" i="11"/>
  <c r="I13" i="11"/>
  <c r="I40" i="11"/>
  <c r="AT13" i="11"/>
  <c r="B54" i="11"/>
  <c r="AK72" i="11"/>
  <c r="AQ72" i="11"/>
  <c r="D72" i="11"/>
  <c r="AL13" i="11"/>
  <c r="AR54" i="11"/>
  <c r="N16" i="11"/>
  <c r="P16" i="11"/>
  <c r="C50" i="4"/>
  <c r="D50" i="4"/>
  <c r="G50" i="4"/>
  <c r="F13" i="4"/>
  <c r="N8" i="11"/>
  <c r="P8" i="11"/>
  <c r="AW35" i="11"/>
  <c r="AD18" i="11"/>
  <c r="AX18" i="11"/>
  <c r="AE10" i="11"/>
  <c r="AE13" i="11"/>
  <c r="AE40" i="11"/>
  <c r="C24" i="5"/>
  <c r="AW38" i="11"/>
  <c r="Q38" i="4"/>
  <c r="B67" i="4"/>
  <c r="N63" i="4"/>
  <c r="P63" i="4"/>
  <c r="N22" i="4"/>
  <c r="P22" i="4"/>
  <c r="B13" i="4"/>
  <c r="F19" i="4"/>
  <c r="G67" i="4"/>
  <c r="G13" i="4"/>
  <c r="H50" i="4"/>
  <c r="AM13" i="11"/>
  <c r="E19" i="11"/>
  <c r="N48" i="11"/>
  <c r="P48" i="11"/>
  <c r="AW68" i="11"/>
  <c r="N69" i="11"/>
  <c r="AK13" i="11"/>
  <c r="N12" i="4"/>
  <c r="P12" i="4"/>
  <c r="N11" i="4"/>
  <c r="P11" i="4"/>
  <c r="AG75" i="11"/>
  <c r="AJ75" i="11"/>
  <c r="N76" i="11"/>
  <c r="AV13" i="11"/>
  <c r="AV19" i="11"/>
  <c r="N22" i="11"/>
  <c r="P22" i="11"/>
  <c r="P25" i="11"/>
  <c r="AW65" i="11"/>
  <c r="N66" i="11"/>
  <c r="AD76" i="11"/>
  <c r="AX76" i="11"/>
  <c r="AD39" i="11"/>
  <c r="AG39" i="11"/>
  <c r="AH39" i="11"/>
  <c r="AI39" i="11"/>
  <c r="N90" i="4"/>
  <c r="P90" i="4"/>
  <c r="B36" i="5"/>
  <c r="C71" i="5"/>
  <c r="D54" i="5"/>
  <c r="E21" i="10"/>
  <c r="N65" i="11"/>
  <c r="E13" i="11"/>
  <c r="B13" i="11"/>
  <c r="AP54" i="11"/>
  <c r="E72" i="11"/>
  <c r="E105" i="11"/>
  <c r="AW71" i="11"/>
  <c r="AW96" i="11"/>
  <c r="D36" i="5"/>
  <c r="D14" i="5"/>
  <c r="D20" i="5"/>
  <c r="AD72" i="11"/>
  <c r="AG72" i="11"/>
  <c r="AH72" i="11"/>
  <c r="AI72" i="11"/>
  <c r="O21" i="14"/>
  <c r="G19" i="14"/>
  <c r="G21" i="14" s="1"/>
  <c r="F19" i="14"/>
  <c r="F21" i="14" s="1"/>
  <c r="AW8" i="11"/>
  <c r="N61" i="11"/>
  <c r="E19" i="14"/>
  <c r="E21" i="14" s="1"/>
  <c r="N10" i="11"/>
  <c r="P10" i="11"/>
  <c r="E67" i="4"/>
  <c r="K21" i="14"/>
  <c r="F3" i="2"/>
  <c r="M19" i="4"/>
  <c r="N103" i="11"/>
  <c r="N53" i="11"/>
  <c r="P53" i="11"/>
  <c r="Z13" i="11"/>
  <c r="Z40" i="11"/>
  <c r="N36" i="4"/>
  <c r="P36" i="4"/>
  <c r="J3" i="2"/>
  <c r="M13" i="4"/>
  <c r="AD35" i="11"/>
  <c r="AG35" i="11"/>
  <c r="AH35" i="11"/>
  <c r="AI35" i="11"/>
  <c r="L21" i="14"/>
  <c r="AD10" i="11"/>
  <c r="AX10" i="11"/>
  <c r="Y13" i="11"/>
  <c r="Y40" i="11"/>
  <c r="I50" i="4"/>
  <c r="N21" i="14"/>
  <c r="C102" i="5"/>
  <c r="D24" i="5"/>
  <c r="AG92" i="11"/>
  <c r="AH92" i="11"/>
  <c r="AI92" i="11"/>
  <c r="AW22" i="11"/>
  <c r="AW25" i="11"/>
  <c r="H19" i="14"/>
  <c r="H21" i="14" s="1"/>
  <c r="AW16" i="11"/>
  <c r="AM19" i="11"/>
  <c r="AW18" i="11"/>
  <c r="K36" i="11"/>
  <c r="R13" i="11"/>
  <c r="R40" i="11"/>
  <c r="AM87" i="11"/>
  <c r="O38" i="4"/>
  <c r="N10" i="4"/>
  <c r="P10" i="4"/>
  <c r="N61" i="4"/>
  <c r="P61" i="4"/>
  <c r="E13" i="4"/>
  <c r="AV84" i="11"/>
  <c r="AR84" i="11"/>
  <c r="AL84" i="11"/>
  <c r="AQ99" i="11"/>
  <c r="AG68" i="11"/>
  <c r="AH68" i="11"/>
  <c r="AU99" i="11"/>
  <c r="AK99" i="11"/>
  <c r="B21" i="14"/>
  <c r="B23" i="14"/>
  <c r="AM84" i="11"/>
  <c r="AP102" i="11"/>
  <c r="D19" i="4"/>
  <c r="D88" i="5"/>
  <c r="D61" i="5"/>
  <c r="C61" i="5"/>
  <c r="AU84" i="11"/>
  <c r="AQ84" i="11"/>
  <c r="AC19" i="2"/>
  <c r="AK82" i="11"/>
  <c r="AW82" i="11"/>
  <c r="AL99" i="11"/>
  <c r="AV99" i="11"/>
  <c r="AR99" i="11"/>
  <c r="AS102" i="11"/>
  <c r="AP84" i="11"/>
  <c r="S19" i="11"/>
  <c r="Y36" i="2"/>
  <c r="B104" i="5"/>
  <c r="B106" i="5"/>
  <c r="N33" i="4"/>
  <c r="P33" i="4"/>
  <c r="D102" i="5"/>
  <c r="C88" i="5"/>
  <c r="T23" i="2"/>
  <c r="R23" i="2"/>
  <c r="X23" i="2"/>
  <c r="Z23" i="2"/>
  <c r="U23" i="2"/>
  <c r="AA23" i="2"/>
  <c r="AT84" i="11"/>
  <c r="AO84" i="11"/>
  <c r="AK81" i="11"/>
  <c r="AL100" i="11"/>
  <c r="AE105" i="11"/>
  <c r="AO99" i="11"/>
  <c r="AM99" i="11"/>
  <c r="L80" i="11"/>
  <c r="N80" i="11"/>
  <c r="P80" i="11"/>
  <c r="T13" i="11"/>
  <c r="W88" i="11"/>
  <c r="AP88" i="11"/>
  <c r="N62" i="4"/>
  <c r="P62" i="4"/>
  <c r="C76" i="5"/>
  <c r="AS84" i="11"/>
  <c r="AN84" i="11"/>
  <c r="AP99" i="11"/>
  <c r="AT99" i="11"/>
  <c r="AS99" i="11"/>
  <c r="L13" i="11"/>
  <c r="L40" i="11"/>
  <c r="S54" i="11"/>
  <c r="S105" i="11"/>
  <c r="X38" i="2"/>
  <c r="X41" i="2"/>
  <c r="W4" i="2"/>
  <c r="AU100" i="11"/>
  <c r="AT100" i="11"/>
  <c r="AR100" i="11"/>
  <c r="AV100" i="11"/>
  <c r="AO100" i="11"/>
  <c r="AG57" i="11"/>
  <c r="AH57" i="11"/>
  <c r="AI57" i="11"/>
  <c r="Q5" i="14"/>
  <c r="P103" i="11"/>
  <c r="G40" i="11"/>
  <c r="I105" i="11"/>
  <c r="AX22" i="11"/>
  <c r="N18" i="11"/>
  <c r="P18" i="11"/>
  <c r="AG65" i="11"/>
  <c r="AH65" i="11"/>
  <c r="AI65" i="11"/>
  <c r="AX65" i="11"/>
  <c r="AW48" i="11"/>
  <c r="AW66" i="11"/>
  <c r="AW69" i="11"/>
  <c r="G72" i="11"/>
  <c r="G105" i="11"/>
  <c r="O105" i="11"/>
  <c r="AG83" i="11"/>
  <c r="AH83" i="11"/>
  <c r="AX83" i="11"/>
  <c r="N39" i="11"/>
  <c r="P39" i="11"/>
  <c r="AW39" i="11"/>
  <c r="AG44" i="11"/>
  <c r="AH44" i="11"/>
  <c r="AI44" i="11"/>
  <c r="AM72" i="11"/>
  <c r="AG67" i="11"/>
  <c r="AH67" i="11"/>
  <c r="AI67" i="11"/>
  <c r="AX67" i="11"/>
  <c r="AW67" i="11"/>
  <c r="N68" i="11"/>
  <c r="AV72" i="11"/>
  <c r="AG69" i="11"/>
  <c r="AH69" i="11"/>
  <c r="AI69" i="11"/>
  <c r="V40" i="11"/>
  <c r="K13" i="11"/>
  <c r="M72" i="11"/>
  <c r="F13" i="11"/>
  <c r="F40" i="11"/>
  <c r="N38" i="11"/>
  <c r="P38" i="11"/>
  <c r="AW53" i="11"/>
  <c r="AN72" i="11"/>
  <c r="C72" i="11"/>
  <c r="C105" i="11"/>
  <c r="AG66" i="11"/>
  <c r="AH66" i="11"/>
  <c r="AI66" i="11"/>
  <c r="AG70" i="11"/>
  <c r="AH70" i="11"/>
  <c r="AI70" i="11"/>
  <c r="AG71" i="11"/>
  <c r="AH71" i="11"/>
  <c r="AI71" i="11"/>
  <c r="AX71" i="11"/>
  <c r="AG82" i="11"/>
  <c r="AH82" i="11"/>
  <c r="AI82" i="11"/>
  <c r="AX82" i="11"/>
  <c r="AG99" i="11"/>
  <c r="AH99" i="11"/>
  <c r="AI99" i="11"/>
  <c r="AX99" i="11"/>
  <c r="S13" i="11"/>
  <c r="T19" i="11"/>
  <c r="AG95" i="11"/>
  <c r="AH95" i="11"/>
  <c r="AI95" i="11"/>
  <c r="AX95" i="11"/>
  <c r="AG94" i="11"/>
  <c r="AH94" i="11"/>
  <c r="AI94" i="11"/>
  <c r="AX94" i="11"/>
  <c r="AD96" i="11"/>
  <c r="AX96" i="11"/>
  <c r="AG17" i="11"/>
  <c r="AH17" i="11"/>
  <c r="AX17" i="11"/>
  <c r="Q20" i="14"/>
  <c r="P21" i="14"/>
  <c r="AG60" i="11"/>
  <c r="AH60" i="11"/>
  <c r="AI60" i="11"/>
  <c r="AX60" i="11"/>
  <c r="AG46" i="11"/>
  <c r="AH46" i="11"/>
  <c r="AI46" i="11"/>
  <c r="AX46" i="11"/>
  <c r="AG47" i="11"/>
  <c r="AH47" i="11"/>
  <c r="AI47" i="11"/>
  <c r="AX47" i="11"/>
  <c r="AG50" i="11"/>
  <c r="AH50" i="11"/>
  <c r="AI50" i="11"/>
  <c r="AX50" i="11"/>
  <c r="AG58" i="11"/>
  <c r="AH58" i="11"/>
  <c r="AI58" i="11"/>
  <c r="AX58" i="11"/>
  <c r="AG29" i="11"/>
  <c r="AH29" i="11"/>
  <c r="AI29" i="11"/>
  <c r="AX29" i="11"/>
  <c r="AG45" i="11"/>
  <c r="AH45" i="11"/>
  <c r="AI45" i="11"/>
  <c r="AX45" i="11"/>
  <c r="AG49" i="11"/>
  <c r="AH49" i="11"/>
  <c r="AI49" i="11"/>
  <c r="AX49" i="11"/>
  <c r="AG9" i="11"/>
  <c r="AH9" i="11"/>
  <c r="AI9" i="11"/>
  <c r="AX9" i="11"/>
  <c r="AG12" i="11"/>
  <c r="AH12" i="11"/>
  <c r="AI12" i="11"/>
  <c r="AX12" i="11"/>
  <c r="AG31" i="11"/>
  <c r="AH31" i="11"/>
  <c r="AI31" i="11"/>
  <c r="AX31" i="11"/>
  <c r="AG32" i="11"/>
  <c r="AH32" i="11"/>
  <c r="AI32" i="11"/>
  <c r="AG33" i="11"/>
  <c r="AH33" i="11"/>
  <c r="AX33" i="11"/>
  <c r="E16" i="14"/>
  <c r="AB16" i="2"/>
  <c r="AA3" i="2"/>
  <c r="R17" i="2"/>
  <c r="Q3" i="2"/>
  <c r="Q5" i="2"/>
  <c r="X16" i="2"/>
  <c r="Y16" i="2"/>
  <c r="X3" i="2"/>
  <c r="Y3" i="2"/>
  <c r="S17" i="2"/>
  <c r="N87" i="11"/>
  <c r="P87" i="11"/>
  <c r="L3" i="2"/>
  <c r="D89" i="11"/>
  <c r="D105" i="11"/>
  <c r="H9" i="2"/>
  <c r="H75" i="4"/>
  <c r="L75" i="4"/>
  <c r="E81" i="4"/>
  <c r="I14" i="2"/>
  <c r="L14" i="2"/>
  <c r="X84" i="11"/>
  <c r="G9" i="2"/>
  <c r="G75" i="4"/>
  <c r="E9" i="2"/>
  <c r="E75" i="4"/>
  <c r="C9" i="2"/>
  <c r="C75" i="4"/>
  <c r="U16" i="2"/>
  <c r="AC80" i="11"/>
  <c r="I17" i="2"/>
  <c r="C23" i="2"/>
  <c r="D9" i="2"/>
  <c r="D75" i="4"/>
  <c r="AC22" i="2"/>
  <c r="R5" i="2"/>
  <c r="N21" i="2"/>
  <c r="X86" i="11"/>
  <c r="AC84" i="11"/>
  <c r="U17" i="2"/>
  <c r="E16" i="2"/>
  <c r="E82" i="4"/>
  <c r="T16" i="2"/>
  <c r="T17" i="2"/>
  <c r="Z16" i="2"/>
  <c r="D38" i="2"/>
  <c r="E17" i="2"/>
  <c r="E83" i="4"/>
  <c r="B25" i="2"/>
  <c r="AW80" i="11"/>
  <c r="K89" i="11"/>
  <c r="K105" i="11"/>
  <c r="C76" i="4"/>
  <c r="I79" i="4"/>
  <c r="C4" i="2"/>
  <c r="C5" i="2"/>
  <c r="C32" i="4"/>
  <c r="C34" i="4"/>
  <c r="N11" i="2"/>
  <c r="U105" i="11"/>
  <c r="Z17" i="2"/>
  <c r="C79" i="4"/>
  <c r="AB17" i="2"/>
  <c r="L15" i="2"/>
  <c r="N15" i="2"/>
  <c r="C17" i="2"/>
  <c r="L79" i="4"/>
  <c r="L17" i="2"/>
  <c r="L83" i="4"/>
  <c r="B3" i="2"/>
  <c r="B5" i="2"/>
  <c r="K9" i="2"/>
  <c r="K75" i="4"/>
  <c r="M9" i="2"/>
  <c r="M75" i="4"/>
  <c r="L16" i="2"/>
  <c r="L82" i="4"/>
  <c r="AG85" i="11"/>
  <c r="AH85" i="11"/>
  <c r="AI85" i="11"/>
  <c r="AW85" i="11"/>
  <c r="W84" i="11"/>
  <c r="T84" i="11"/>
  <c r="V16" i="2"/>
  <c r="B89" i="11"/>
  <c r="F89" i="11"/>
  <c r="C81" i="4"/>
  <c r="C16" i="2"/>
  <c r="C82" i="4"/>
  <c r="E79" i="4"/>
  <c r="Y17" i="2"/>
  <c r="Z84" i="11"/>
  <c r="AD100" i="11"/>
  <c r="AA103" i="11"/>
  <c r="N84" i="11"/>
  <c r="P84" i="11"/>
  <c r="AW86" i="11"/>
  <c r="N88" i="11"/>
  <c r="P88" i="11"/>
  <c r="V105" i="11"/>
  <c r="M89" i="11"/>
  <c r="M105" i="11"/>
  <c r="AG22" i="11"/>
  <c r="AH22" i="11"/>
  <c r="AI22" i="11"/>
  <c r="Y62" i="11"/>
  <c r="AD61" i="11"/>
  <c r="AX61" i="11"/>
  <c r="AU62" i="11"/>
  <c r="AW61" i="11"/>
  <c r="AW62" i="11"/>
  <c r="N67" i="11"/>
  <c r="H72" i="11"/>
  <c r="H105" i="11"/>
  <c r="U13" i="11"/>
  <c r="U40" i="11"/>
  <c r="AD8" i="11"/>
  <c r="AX8" i="11"/>
  <c r="E19" i="4"/>
  <c r="N17" i="4"/>
  <c r="P17" i="4"/>
  <c r="N64" i="4"/>
  <c r="P64" i="4"/>
  <c r="F67" i="4"/>
  <c r="H72" i="4"/>
  <c r="N71" i="4"/>
  <c r="K67" i="4"/>
  <c r="N66" i="4"/>
  <c r="P66" i="4"/>
  <c r="D71" i="5"/>
  <c r="AC13" i="2"/>
  <c r="W16" i="2"/>
  <c r="W17" i="2"/>
  <c r="X17" i="2"/>
  <c r="H16" i="14"/>
  <c r="AD11" i="11"/>
  <c r="X13" i="11"/>
  <c r="X40" i="11"/>
  <c r="B72" i="11"/>
  <c r="N70" i="11"/>
  <c r="P81" i="11"/>
  <c r="P94" i="11"/>
  <c r="P96" i="11"/>
  <c r="N96" i="11"/>
  <c r="J23" i="14"/>
  <c r="AP72" i="11"/>
  <c r="AG16" i="11"/>
  <c r="AH16" i="11"/>
  <c r="AI16" i="11"/>
  <c r="H67" i="4"/>
  <c r="K13" i="4"/>
  <c r="N8" i="4"/>
  <c r="L67" i="4"/>
  <c r="M67" i="4"/>
  <c r="D76" i="5"/>
  <c r="B76" i="4"/>
  <c r="AC14" i="2"/>
  <c r="AC15" i="2"/>
  <c r="AC21" i="2"/>
  <c r="AA17" i="2"/>
  <c r="AA16" i="2"/>
  <c r="AC13" i="11"/>
  <c r="C67" i="4"/>
  <c r="N60" i="4"/>
  <c r="N46" i="4"/>
  <c r="N16" i="4"/>
  <c r="C19" i="4"/>
  <c r="N80" i="4"/>
  <c r="P80" i="4"/>
  <c r="N37" i="4"/>
  <c r="P37" i="4"/>
  <c r="H19" i="4"/>
  <c r="N18" i="4"/>
  <c r="P18" i="4"/>
  <c r="C14" i="5"/>
  <c r="I3" i="2"/>
  <c r="I9" i="2"/>
  <c r="R57" i="2"/>
  <c r="R18" i="2"/>
  <c r="N11" i="11"/>
  <c r="D13" i="11"/>
  <c r="AW12" i="11"/>
  <c r="AN13" i="11"/>
  <c r="C19" i="11"/>
  <c r="N17" i="11"/>
  <c r="AL19" i="11"/>
  <c r="AW17" i="11"/>
  <c r="B36" i="11"/>
  <c r="N35" i="11"/>
  <c r="P94" i="4"/>
  <c r="N97" i="4"/>
  <c r="P97" i="4"/>
  <c r="Q99" i="4"/>
  <c r="N77" i="4"/>
  <c r="P77" i="4"/>
  <c r="N49" i="4"/>
  <c r="P49" i="4"/>
  <c r="B50" i="4"/>
  <c r="D13" i="4"/>
  <c r="F57" i="4"/>
  <c r="N56" i="4"/>
  <c r="C36" i="5"/>
  <c r="C54" i="5"/>
  <c r="AC11" i="2"/>
  <c r="AR13" i="11"/>
  <c r="O40" i="11"/>
  <c r="D19" i="11"/>
  <c r="AL72" i="11"/>
  <c r="H5" i="14"/>
  <c r="AD38" i="11"/>
  <c r="R54" i="11"/>
  <c r="AD48" i="11"/>
  <c r="AX48" i="11"/>
  <c r="AD53" i="11"/>
  <c r="Y54" i="11"/>
  <c r="N82" i="11"/>
  <c r="P82" i="11"/>
  <c r="J89" i="11"/>
  <c r="J105" i="11"/>
  <c r="AL54" i="11"/>
  <c r="AO72" i="11"/>
  <c r="W40" i="11"/>
  <c r="J40" i="11"/>
  <c r="L89" i="11"/>
  <c r="L72" i="11"/>
  <c r="M19" i="11"/>
  <c r="R89" i="11"/>
  <c r="AI75" i="11"/>
  <c r="AK75" i="11"/>
  <c r="AK77" i="11"/>
  <c r="AK89" i="11"/>
  <c r="E23" i="10"/>
  <c r="E24" i="10"/>
  <c r="M23" i="14"/>
  <c r="U21" i="14"/>
  <c r="U23" i="14" s="1"/>
  <c r="AG21" i="14"/>
  <c r="V23" i="14"/>
  <c r="V25" i="14"/>
  <c r="N23" i="14"/>
  <c r="W23" i="14"/>
  <c r="W25" i="14" s="1"/>
  <c r="X23" i="14"/>
  <c r="B40" i="11"/>
  <c r="N23" i="4"/>
  <c r="P23" i="4"/>
  <c r="AG18" i="11"/>
  <c r="AH18" i="11"/>
  <c r="AW54" i="11"/>
  <c r="AW13" i="11"/>
  <c r="E40" i="11"/>
  <c r="E107" i="11"/>
  <c r="P54" i="11"/>
  <c r="M40" i="11"/>
  <c r="M107" i="11"/>
  <c r="C40" i="11"/>
  <c r="C107" i="11"/>
  <c r="AD19" i="11"/>
  <c r="F105" i="11"/>
  <c r="F107" i="11"/>
  <c r="AX35" i="11"/>
  <c r="T40" i="11"/>
  <c r="G107" i="11"/>
  <c r="AT102" i="11"/>
  <c r="S40" i="11"/>
  <c r="S107" i="11"/>
  <c r="AX39" i="11"/>
  <c r="AW72" i="11"/>
  <c r="N54" i="11"/>
  <c r="N25" i="11"/>
  <c r="AW84" i="11"/>
  <c r="O107" i="11"/>
  <c r="H107" i="11"/>
  <c r="AG10" i="11"/>
  <c r="AH10" i="11"/>
  <c r="AD77" i="11"/>
  <c r="AX77" i="11"/>
  <c r="N77" i="11"/>
  <c r="P76" i="11"/>
  <c r="P77" i="11"/>
  <c r="Q101" i="4"/>
  <c r="AG76" i="11"/>
  <c r="AH76" i="11"/>
  <c r="AI76" i="11"/>
  <c r="K40" i="11"/>
  <c r="K107" i="11"/>
  <c r="Q19" i="14"/>
  <c r="Q21" i="14" s="1"/>
  <c r="Q23" i="14" s="1"/>
  <c r="I21" i="14"/>
  <c r="AX72" i="11"/>
  <c r="D41" i="5"/>
  <c r="P61" i="11"/>
  <c r="P62" i="11"/>
  <c r="N62" i="11"/>
  <c r="C104" i="5"/>
  <c r="B25" i="14"/>
  <c r="AL75" i="11"/>
  <c r="AW19" i="11"/>
  <c r="V107" i="11"/>
  <c r="AM75" i="11"/>
  <c r="X88" i="11"/>
  <c r="AQ88" i="11"/>
  <c r="AP87" i="11"/>
  <c r="AR87" i="11"/>
  <c r="AC87" i="11"/>
  <c r="AV87" i="11"/>
  <c r="AU102" i="11"/>
  <c r="AQ102" i="11"/>
  <c r="AL81" i="11"/>
  <c r="AP101" i="11"/>
  <c r="X87" i="11"/>
  <c r="AQ87" i="11"/>
  <c r="Z88" i="11"/>
  <c r="Z89" i="11"/>
  <c r="Z105" i="11"/>
  <c r="Z107" i="11"/>
  <c r="AS88" i="11"/>
  <c r="AC88" i="11"/>
  <c r="AV88" i="11"/>
  <c r="AT87" i="11"/>
  <c r="AL34" i="11"/>
  <c r="AL36" i="11"/>
  <c r="AL40" i="11"/>
  <c r="AK34" i="11"/>
  <c r="AK36" i="11"/>
  <c r="AK40" i="11"/>
  <c r="L23" i="14"/>
  <c r="I107" i="11"/>
  <c r="AN99" i="11"/>
  <c r="AW99" i="11" s="1"/>
  <c r="AN100" i="11"/>
  <c r="AN88" i="11"/>
  <c r="AS87" i="11"/>
  <c r="AL88" i="11"/>
  <c r="AV102" i="11"/>
  <c r="AS101" i="11"/>
  <c r="AR88" i="11"/>
  <c r="AT88" i="11"/>
  <c r="AN87" i="11"/>
  <c r="T88" i="11"/>
  <c r="T89" i="11"/>
  <c r="T105" i="11"/>
  <c r="T107" i="11"/>
  <c r="AM88" i="11"/>
  <c r="AT101" i="11"/>
  <c r="Y38" i="2"/>
  <c r="Y41" i="2"/>
  <c r="X4" i="2"/>
  <c r="Z36" i="2"/>
  <c r="AO87" i="11"/>
  <c r="AO88" i="11"/>
  <c r="AU87" i="11"/>
  <c r="AU88" i="11"/>
  <c r="AG96" i="11"/>
  <c r="AH96" i="11"/>
  <c r="AI96" i="11"/>
  <c r="P23" i="14"/>
  <c r="B105" i="11"/>
  <c r="B107" i="11"/>
  <c r="B111" i="11"/>
  <c r="C109" i="11"/>
  <c r="AG38" i="11"/>
  <c r="AH38" i="11"/>
  <c r="AX38" i="11"/>
  <c r="AG77" i="11"/>
  <c r="AH77" i="11"/>
  <c r="AI77" i="11"/>
  <c r="AX25" i="11"/>
  <c r="AG25" i="11"/>
  <c r="AH25" i="11"/>
  <c r="AI25" i="11"/>
  <c r="AG19" i="11"/>
  <c r="AH19" i="11"/>
  <c r="AI19" i="11"/>
  <c r="AX19" i="11"/>
  <c r="AD102" i="11"/>
  <c r="AX102" i="11"/>
  <c r="K23" i="14"/>
  <c r="AR102" i="11"/>
  <c r="O23" i="14"/>
  <c r="N25" i="14"/>
  <c r="AB103" i="11"/>
  <c r="AK100" i="11"/>
  <c r="AG53" i="11"/>
  <c r="AH53" i="11"/>
  <c r="AI53" i="11"/>
  <c r="AX53" i="11"/>
  <c r="AG100" i="11"/>
  <c r="AH100" i="11"/>
  <c r="AI100" i="11"/>
  <c r="AX100" i="11"/>
  <c r="AG11" i="11"/>
  <c r="AH11" i="11"/>
  <c r="AI11" i="11"/>
  <c r="AX11" i="11"/>
  <c r="W89" i="11"/>
  <c r="W105" i="11"/>
  <c r="W107" i="11"/>
  <c r="C83" i="4"/>
  <c r="AD84" i="11"/>
  <c r="AC23" i="2"/>
  <c r="N14" i="2"/>
  <c r="I81" i="4"/>
  <c r="N79" i="4"/>
  <c r="P79" i="4"/>
  <c r="AD86" i="11"/>
  <c r="N16" i="2"/>
  <c r="L81" i="4"/>
  <c r="N81" i="4"/>
  <c r="P81" i="4"/>
  <c r="D4" i="2"/>
  <c r="D5" i="2"/>
  <c r="E38" i="2"/>
  <c r="C25" i="2"/>
  <c r="C27" i="2"/>
  <c r="D41" i="2"/>
  <c r="D57" i="2"/>
  <c r="D18" i="2"/>
  <c r="C38" i="4"/>
  <c r="U107" i="11"/>
  <c r="N17" i="2"/>
  <c r="L105" i="11"/>
  <c r="L107" i="11"/>
  <c r="P89" i="11"/>
  <c r="B32" i="4"/>
  <c r="B34" i="4"/>
  <c r="B38" i="4"/>
  <c r="B27" i="2"/>
  <c r="B28" i="2"/>
  <c r="AC9" i="2"/>
  <c r="Q25" i="2"/>
  <c r="AG48" i="11"/>
  <c r="AD54" i="11"/>
  <c r="AX54" i="11"/>
  <c r="N57" i="4"/>
  <c r="P57" i="4"/>
  <c r="P56" i="4"/>
  <c r="P11" i="11"/>
  <c r="P13" i="11"/>
  <c r="N13" i="11"/>
  <c r="C41" i="5"/>
  <c r="P60" i="4"/>
  <c r="N67" i="4"/>
  <c r="P67" i="4"/>
  <c r="AE107" i="11"/>
  <c r="N89" i="11"/>
  <c r="AC3" i="2"/>
  <c r="N72" i="11"/>
  <c r="R105" i="11"/>
  <c r="R107" i="11"/>
  <c r="AC16" i="2"/>
  <c r="R25" i="2"/>
  <c r="R27" i="2"/>
  <c r="S57" i="2"/>
  <c r="S18" i="2"/>
  <c r="C84" i="4"/>
  <c r="C99" i="4"/>
  <c r="N72" i="4"/>
  <c r="P71" i="4"/>
  <c r="P72" i="4"/>
  <c r="AG8" i="11"/>
  <c r="AH8" i="11"/>
  <c r="AI8" i="11"/>
  <c r="AD13" i="11"/>
  <c r="AX13" i="11"/>
  <c r="N9" i="2"/>
  <c r="I75" i="4"/>
  <c r="N19" i="4"/>
  <c r="P19" i="4"/>
  <c r="P16" i="4"/>
  <c r="D104" i="5"/>
  <c r="J107" i="11"/>
  <c r="J111" i="11"/>
  <c r="P35" i="11"/>
  <c r="P36" i="11"/>
  <c r="N36" i="11"/>
  <c r="P17" i="11"/>
  <c r="P19" i="11"/>
  <c r="N19" i="11"/>
  <c r="D40" i="11"/>
  <c r="D107" i="11"/>
  <c r="N3" i="2"/>
  <c r="P46" i="4"/>
  <c r="N50" i="4"/>
  <c r="P8" i="4"/>
  <c r="N13" i="4"/>
  <c r="B84" i="4"/>
  <c r="B99" i="4"/>
  <c r="AG61" i="11"/>
  <c r="AD62" i="11"/>
  <c r="AX62" i="11"/>
  <c r="AC17" i="2"/>
  <c r="AG23" i="14"/>
  <c r="C106" i="5"/>
  <c r="P105" i="11"/>
  <c r="P25" i="14"/>
  <c r="AT103" i="11"/>
  <c r="L25" i="14"/>
  <c r="AD87" i="11"/>
  <c r="AX87" i="11"/>
  <c r="X89" i="11"/>
  <c r="X105" i="11"/>
  <c r="X107" i="11"/>
  <c r="C111" i="11"/>
  <c r="D109" i="11"/>
  <c r="AD88" i="11"/>
  <c r="AX88" i="11"/>
  <c r="AN75" i="11"/>
  <c r="AL77" i="11"/>
  <c r="I23" i="14"/>
  <c r="AO102" i="11"/>
  <c r="D106" i="5"/>
  <c r="AM77" i="11"/>
  <c r="AO75" i="11"/>
  <c r="AV101" i="11"/>
  <c r="AV103" i="11" s="1"/>
  <c r="AV105" i="11" s="1"/>
  <c r="AV107" i="11" s="1"/>
  <c r="Z38" i="2"/>
  <c r="Z41" i="2"/>
  <c r="Y4" i="2"/>
  <c r="AR101" i="11"/>
  <c r="AL89" i="11"/>
  <c r="C101" i="4"/>
  <c r="AU101" i="11"/>
  <c r="AU103" i="11" s="1"/>
  <c r="AU105" i="11" s="1"/>
  <c r="AU107" i="11" s="1"/>
  <c r="AQ101" i="11"/>
  <c r="AA36" i="2"/>
  <c r="S25" i="2"/>
  <c r="AM81" i="11"/>
  <c r="AM89" i="11"/>
  <c r="AW88" i="11"/>
  <c r="AW87" i="11"/>
  <c r="AG102" i="11"/>
  <c r="AH102" i="11"/>
  <c r="AI102" i="11"/>
  <c r="O25" i="14"/>
  <c r="AG84" i="11"/>
  <c r="AH84" i="11"/>
  <c r="AI84" i="11"/>
  <c r="AX84" i="11"/>
  <c r="AG87" i="11"/>
  <c r="AH87" i="11"/>
  <c r="AI87" i="11"/>
  <c r="AG86" i="11"/>
  <c r="AH86" i="11"/>
  <c r="AI86" i="11"/>
  <c r="AX86" i="11"/>
  <c r="C28" i="2"/>
  <c r="B101" i="4"/>
  <c r="B105" i="4"/>
  <c r="C103" i="4"/>
  <c r="N105" i="11"/>
  <c r="E41" i="2"/>
  <c r="E57" i="2"/>
  <c r="E18" i="2"/>
  <c r="F38" i="2"/>
  <c r="E4" i="2"/>
  <c r="E5" i="2"/>
  <c r="E32" i="4"/>
  <c r="E34" i="4"/>
  <c r="E38" i="4"/>
  <c r="D25" i="2"/>
  <c r="D27" i="2"/>
  <c r="D76" i="4"/>
  <c r="D84" i="4"/>
  <c r="D99" i="4"/>
  <c r="D32" i="4"/>
  <c r="D34" i="4"/>
  <c r="D38" i="4"/>
  <c r="D111" i="11"/>
  <c r="E109" i="11"/>
  <c r="E111" i="11"/>
  <c r="F109" i="11"/>
  <c r="F111" i="11"/>
  <c r="G109" i="11"/>
  <c r="G111" i="11"/>
  <c r="H109" i="11"/>
  <c r="H111" i="11"/>
  <c r="I109" i="11"/>
  <c r="AD101" i="11"/>
  <c r="AX101" i="11"/>
  <c r="AC103" i="11"/>
  <c r="AG13" i="11"/>
  <c r="AH13" i="11"/>
  <c r="AI13" i="11"/>
  <c r="Y89" i="11"/>
  <c r="Y105" i="11"/>
  <c r="Y107" i="11"/>
  <c r="AD80" i="11"/>
  <c r="AX80" i="11"/>
  <c r="T5" i="2"/>
  <c r="T57" i="2"/>
  <c r="T18" i="2"/>
  <c r="N40" i="11"/>
  <c r="AH48" i="11"/>
  <c r="AI48" i="11"/>
  <c r="AG54" i="11"/>
  <c r="AH54" i="11"/>
  <c r="AI54" i="11"/>
  <c r="N75" i="4"/>
  <c r="O75" i="4"/>
  <c r="O84" i="4"/>
  <c r="O99" i="4"/>
  <c r="O101" i="4"/>
  <c r="P40" i="11"/>
  <c r="P107" i="11"/>
  <c r="AH61" i="11"/>
  <c r="AG62" i="11"/>
  <c r="AH62" i="11"/>
  <c r="AI62" i="11"/>
  <c r="P13" i="4"/>
  <c r="P50" i="4"/>
  <c r="K109" i="11"/>
  <c r="K111" i="11"/>
  <c r="L109" i="11"/>
  <c r="L111" i="11"/>
  <c r="M109" i="11"/>
  <c r="M111" i="11"/>
  <c r="R111" i="11"/>
  <c r="S109" i="11"/>
  <c r="J115" i="11"/>
  <c r="K115" i="11"/>
  <c r="L115" i="11"/>
  <c r="M115" i="11"/>
  <c r="S115" i="11"/>
  <c r="T115" i="11"/>
  <c r="S5" i="2"/>
  <c r="Q27" i="2"/>
  <c r="Q28" i="2"/>
  <c r="R28" i="2"/>
  <c r="AG88" i="11"/>
  <c r="AH88" i="11"/>
  <c r="AI88" i="11"/>
  <c r="C105" i="4"/>
  <c r="D103" i="4"/>
  <c r="AO101" i="11"/>
  <c r="AO103" i="11"/>
  <c r="I25" i="14"/>
  <c r="AQ75" i="11"/>
  <c r="AO77" i="11"/>
  <c r="AN77" i="11"/>
  <c r="AP75" i="11"/>
  <c r="T25" i="2"/>
  <c r="T27" i="2"/>
  <c r="AN81" i="11"/>
  <c r="AN89" i="11"/>
  <c r="AR103" i="11"/>
  <c r="AB36" i="2"/>
  <c r="AM34" i="11"/>
  <c r="AM36" i="11"/>
  <c r="AM40" i="11"/>
  <c r="AA38" i="2"/>
  <c r="AA41" i="2"/>
  <c r="Z4" i="2"/>
  <c r="AN34" i="11"/>
  <c r="AN36" i="11"/>
  <c r="AN40" i="11"/>
  <c r="N107" i="11"/>
  <c r="E76" i="4"/>
  <c r="E84" i="4"/>
  <c r="E99" i="4"/>
  <c r="E101" i="4"/>
  <c r="E25" i="2"/>
  <c r="E27" i="2"/>
  <c r="D101" i="4"/>
  <c r="D105" i="4"/>
  <c r="E103" i="4"/>
  <c r="G38" i="2"/>
  <c r="F41" i="2"/>
  <c r="F57" i="2"/>
  <c r="F18" i="2"/>
  <c r="F4" i="2"/>
  <c r="F5" i="2"/>
  <c r="F32" i="4"/>
  <c r="F34" i="4"/>
  <c r="F38" i="4"/>
  <c r="D28" i="2"/>
  <c r="S112" i="11"/>
  <c r="S111" i="11"/>
  <c r="T109" i="11"/>
  <c r="T111" i="11"/>
  <c r="U109" i="11"/>
  <c r="U111" i="11"/>
  <c r="P75" i="4"/>
  <c r="U57" i="2"/>
  <c r="U18" i="2"/>
  <c r="S27" i="2"/>
  <c r="S28" i="2"/>
  <c r="AG80" i="11"/>
  <c r="AH80" i="11"/>
  <c r="AI80" i="11"/>
  <c r="AD103" i="11"/>
  <c r="AG101" i="11"/>
  <c r="AH101" i="11"/>
  <c r="AI101" i="11"/>
  <c r="AQ77" i="11"/>
  <c r="AS75" i="11"/>
  <c r="AP77" i="11"/>
  <c r="AR75" i="11"/>
  <c r="AB38" i="2"/>
  <c r="AB4" i="2"/>
  <c r="AA4" i="2"/>
  <c r="U25" i="2"/>
  <c r="AO81" i="11"/>
  <c r="AO89" i="11"/>
  <c r="AO105" i="11"/>
  <c r="AG103" i="11"/>
  <c r="AH103" i="11"/>
  <c r="AI103" i="11"/>
  <c r="AX103" i="11"/>
  <c r="E105" i="4"/>
  <c r="F103" i="4"/>
  <c r="H38" i="2"/>
  <c r="G4" i="2"/>
  <c r="G5" i="2"/>
  <c r="G41" i="2"/>
  <c r="G57" i="2"/>
  <c r="G18" i="2"/>
  <c r="E28" i="2"/>
  <c r="F76" i="4"/>
  <c r="F84" i="4"/>
  <c r="F99" i="4"/>
  <c r="F101" i="4"/>
  <c r="F25" i="2"/>
  <c r="V57" i="2"/>
  <c r="V18" i="2"/>
  <c r="V5" i="2"/>
  <c r="T28" i="2"/>
  <c r="V109" i="11"/>
  <c r="V111" i="11"/>
  <c r="W109" i="11"/>
  <c r="W111" i="11"/>
  <c r="X109" i="11"/>
  <c r="X111" i="11"/>
  <c r="Y109" i="11"/>
  <c r="Y111" i="11"/>
  <c r="Z109" i="11"/>
  <c r="Z111" i="11"/>
  <c r="AA109" i="11"/>
  <c r="U115" i="11"/>
  <c r="V115" i="11"/>
  <c r="W115" i="11"/>
  <c r="X115" i="11"/>
  <c r="Y115" i="11"/>
  <c r="Z115" i="11"/>
  <c r="U5" i="2"/>
  <c r="AU75" i="11"/>
  <c r="AS77" i="11"/>
  <c r="AT75" i="11"/>
  <c r="AR77" i="11"/>
  <c r="AB41" i="2"/>
  <c r="AP81" i="11"/>
  <c r="AP89" i="11"/>
  <c r="AO34" i="11"/>
  <c r="AO36" i="11"/>
  <c r="AO40" i="11"/>
  <c r="AO107" i="11"/>
  <c r="AP34" i="11"/>
  <c r="AP36" i="11"/>
  <c r="AP40" i="11"/>
  <c r="F105" i="4"/>
  <c r="G103" i="4"/>
  <c r="G76" i="4"/>
  <c r="G84" i="4"/>
  <c r="G99" i="4"/>
  <c r="G25" i="2"/>
  <c r="G27" i="2"/>
  <c r="F27" i="2"/>
  <c r="F28" i="2"/>
  <c r="G32" i="4"/>
  <c r="G34" i="4"/>
  <c r="G38" i="4"/>
  <c r="I38" i="2"/>
  <c r="H4" i="2"/>
  <c r="H5" i="2"/>
  <c r="I23" i="2"/>
  <c r="I22" i="2"/>
  <c r="H41" i="2"/>
  <c r="H57" i="2"/>
  <c r="H18" i="2"/>
  <c r="U27" i="2"/>
  <c r="U28" i="2"/>
  <c r="V25" i="2"/>
  <c r="V27" i="2"/>
  <c r="W57" i="2"/>
  <c r="W18" i="2"/>
  <c r="AV75" i="11"/>
  <c r="AV77" i="11"/>
  <c r="AT77" i="11"/>
  <c r="AW75" i="11"/>
  <c r="AW77" i="11"/>
  <c r="AU77" i="11"/>
  <c r="W25" i="2"/>
  <c r="AQ81" i="11"/>
  <c r="AQ89" i="11"/>
  <c r="G101" i="4"/>
  <c r="G105" i="4"/>
  <c r="H103" i="4"/>
  <c r="H32" i="4"/>
  <c r="H34" i="4"/>
  <c r="H38" i="4"/>
  <c r="H76" i="4"/>
  <c r="H25" i="2"/>
  <c r="J38" i="2"/>
  <c r="I4" i="2"/>
  <c r="I5" i="2"/>
  <c r="I32" i="4"/>
  <c r="I34" i="4"/>
  <c r="I38" i="4"/>
  <c r="I41" i="2"/>
  <c r="I57" i="2"/>
  <c r="I18" i="2"/>
  <c r="N22" i="2"/>
  <c r="I82" i="4"/>
  <c r="N82" i="4"/>
  <c r="P82" i="4"/>
  <c r="G28" i="2"/>
  <c r="I83" i="4"/>
  <c r="N83" i="4"/>
  <c r="P83" i="4"/>
  <c r="N23" i="2"/>
  <c r="V28" i="2"/>
  <c r="W5" i="2"/>
  <c r="X5" i="2"/>
  <c r="X57" i="2"/>
  <c r="X18" i="2"/>
  <c r="AR34" i="11"/>
  <c r="AR36" i="11"/>
  <c r="AR40" i="11"/>
  <c r="AQ34" i="11"/>
  <c r="AQ36" i="11"/>
  <c r="AQ40" i="11"/>
  <c r="X25" i="2"/>
  <c r="X27" i="2"/>
  <c r="AR81" i="11"/>
  <c r="AR89" i="11"/>
  <c r="AR105" i="11"/>
  <c r="I76" i="4"/>
  <c r="I84" i="4"/>
  <c r="I99" i="4"/>
  <c r="I101" i="4"/>
  <c r="I25" i="2"/>
  <c r="I27" i="2"/>
  <c r="H84" i="4"/>
  <c r="H99" i="4"/>
  <c r="H101" i="4"/>
  <c r="H105" i="4"/>
  <c r="I103" i="4"/>
  <c r="H27" i="2"/>
  <c r="H28" i="2"/>
  <c r="J4" i="2"/>
  <c r="K38" i="2"/>
  <c r="J41" i="2"/>
  <c r="J57" i="2"/>
  <c r="J18" i="2"/>
  <c r="Y5" i="2"/>
  <c r="Y57" i="2"/>
  <c r="Y18" i="2"/>
  <c r="W27" i="2"/>
  <c r="W28" i="2"/>
  <c r="AR107" i="11"/>
  <c r="AS81" i="11"/>
  <c r="AS89" i="11"/>
  <c r="AS34" i="11"/>
  <c r="AS36" i="11"/>
  <c r="AS40" i="11"/>
  <c r="I28" i="2"/>
  <c r="X28" i="2"/>
  <c r="L38" i="2"/>
  <c r="K4" i="2"/>
  <c r="K5" i="2"/>
  <c r="K32" i="4"/>
  <c r="K34" i="4"/>
  <c r="K38" i="4"/>
  <c r="K41" i="2"/>
  <c r="K57" i="2"/>
  <c r="K18" i="2"/>
  <c r="I105" i="4"/>
  <c r="J103" i="4"/>
  <c r="J5" i="2"/>
  <c r="J25" i="2"/>
  <c r="J76" i="4"/>
  <c r="J84" i="4"/>
  <c r="J99" i="4"/>
  <c r="Z57" i="2"/>
  <c r="Z18" i="2"/>
  <c r="Y25" i="2"/>
  <c r="Y27" i="2"/>
  <c r="J27" i="2"/>
  <c r="J28" i="2"/>
  <c r="AT81" i="11"/>
  <c r="AT89" i="11"/>
  <c r="AT105" i="11"/>
  <c r="Y28" i="2"/>
  <c r="K25" i="2"/>
  <c r="K76" i="4"/>
  <c r="J32" i="4"/>
  <c r="M38" i="2"/>
  <c r="L4" i="2"/>
  <c r="L41" i="2"/>
  <c r="L57" i="2"/>
  <c r="L18" i="2"/>
  <c r="Z5" i="2"/>
  <c r="AB89" i="11"/>
  <c r="AB105" i="11"/>
  <c r="Z25" i="2"/>
  <c r="AA89" i="11"/>
  <c r="AA105" i="11"/>
  <c r="AA57" i="2"/>
  <c r="AA18" i="2"/>
  <c r="AA5" i="2"/>
  <c r="AU34" i="11"/>
  <c r="AU36" i="11"/>
  <c r="AU40" i="11"/>
  <c r="AU81" i="11"/>
  <c r="AT34" i="11"/>
  <c r="M41" i="2"/>
  <c r="M57" i="2"/>
  <c r="M18" i="2"/>
  <c r="M4" i="2"/>
  <c r="M5" i="2"/>
  <c r="M32" i="4"/>
  <c r="M34" i="4"/>
  <c r="M38" i="4"/>
  <c r="K84" i="4"/>
  <c r="K99" i="4"/>
  <c r="K101" i="4"/>
  <c r="L25" i="2"/>
  <c r="L76" i="4"/>
  <c r="L84" i="4"/>
  <c r="L99" i="4"/>
  <c r="J34" i="4"/>
  <c r="J38" i="4"/>
  <c r="J101" i="4"/>
  <c r="J105" i="4"/>
  <c r="K103" i="4"/>
  <c r="K27" i="2"/>
  <c r="K28" i="2"/>
  <c r="L5" i="2"/>
  <c r="N4" i="2"/>
  <c r="AC89" i="11"/>
  <c r="AC105" i="11"/>
  <c r="AA25" i="2"/>
  <c r="AA27" i="2"/>
  <c r="AB57" i="2"/>
  <c r="AB18" i="2"/>
  <c r="AB36" i="11"/>
  <c r="AB40" i="11"/>
  <c r="AB107" i="11"/>
  <c r="Z27" i="2"/>
  <c r="Z28" i="2"/>
  <c r="AU89" i="11"/>
  <c r="AV81" i="11"/>
  <c r="AV89" i="11"/>
  <c r="AT36" i="11"/>
  <c r="AT40" i="11"/>
  <c r="AT107" i="11"/>
  <c r="K105" i="4"/>
  <c r="L103" i="4"/>
  <c r="L32" i="4"/>
  <c r="N5" i="2"/>
  <c r="L27" i="2"/>
  <c r="L28" i="2"/>
  <c r="M76" i="4"/>
  <c r="M25" i="2"/>
  <c r="N18" i="2"/>
  <c r="O22" i="2"/>
  <c r="AA28" i="2"/>
  <c r="AD81" i="11"/>
  <c r="AB25" i="2"/>
  <c r="AC25" i="2"/>
  <c r="AC18" i="2"/>
  <c r="AD22" i="2"/>
  <c r="AA36" i="11"/>
  <c r="AA40" i="11"/>
  <c r="AA107" i="11"/>
  <c r="AB5" i="2"/>
  <c r="AC4" i="2"/>
  <c r="AW81" i="11"/>
  <c r="AW89" i="11"/>
  <c r="AV34" i="11"/>
  <c r="AD89" i="11"/>
  <c r="AX89" i="11"/>
  <c r="AX81" i="11"/>
  <c r="M84" i="4"/>
  <c r="M99" i="4"/>
  <c r="M101" i="4"/>
  <c r="N76" i="4"/>
  <c r="M27" i="2"/>
  <c r="M28" i="2"/>
  <c r="N25" i="2"/>
  <c r="N27" i="2"/>
  <c r="L34" i="4"/>
  <c r="L38" i="4"/>
  <c r="L101" i="4"/>
  <c r="L105" i="4"/>
  <c r="M103" i="4"/>
  <c r="N32" i="4"/>
  <c r="AG81" i="11"/>
  <c r="AH81" i="11"/>
  <c r="AI81" i="11"/>
  <c r="AB27" i="2"/>
  <c r="AB28" i="2"/>
  <c r="AC5" i="2"/>
  <c r="AC27" i="2"/>
  <c r="AA111" i="11"/>
  <c r="AB111" i="11"/>
  <c r="AA115" i="11"/>
  <c r="AB115" i="11"/>
  <c r="AV36" i="11"/>
  <c r="AV40" i="11"/>
  <c r="AW34" i="11"/>
  <c r="AW36" i="11"/>
  <c r="AW40" i="11"/>
  <c r="AD105" i="11"/>
  <c r="AG105" i="11"/>
  <c r="AH105" i="11"/>
  <c r="AI105" i="11"/>
  <c r="AG89" i="11"/>
  <c r="AH89" i="11"/>
  <c r="AI89" i="11"/>
  <c r="M105" i="4"/>
  <c r="P32" i="4"/>
  <c r="N34" i="4"/>
  <c r="P76" i="4"/>
  <c r="P84" i="4"/>
  <c r="N84" i="4"/>
  <c r="N99" i="4"/>
  <c r="P99" i="4"/>
  <c r="AC36" i="11"/>
  <c r="AC40" i="11"/>
  <c r="AC107" i="11"/>
  <c r="AC111" i="11"/>
  <c r="AK109" i="11"/>
  <c r="AX34" i="11"/>
  <c r="AX105" i="11"/>
  <c r="P34" i="4"/>
  <c r="N38" i="4"/>
  <c r="AC115" i="11"/>
  <c r="AD36" i="11"/>
  <c r="AX36" i="11"/>
  <c r="AG34" i="11"/>
  <c r="AH34" i="11"/>
  <c r="AI34" i="11"/>
  <c r="P38" i="4"/>
  <c r="N101" i="4"/>
  <c r="P101" i="4"/>
  <c r="AG36" i="11"/>
  <c r="AH36" i="11"/>
  <c r="AI36" i="11"/>
  <c r="AD40" i="11"/>
  <c r="AX40" i="11"/>
  <c r="AG40" i="11"/>
  <c r="AH40" i="11"/>
  <c r="AI40" i="11"/>
  <c r="AD107" i="11"/>
  <c r="AG107" i="11"/>
  <c r="AH107" i="11"/>
  <c r="AI107" i="11"/>
  <c r="AX107" i="11"/>
  <c r="AA25" i="14" l="1"/>
  <c r="AG8" i="14"/>
  <c r="X16" i="14"/>
  <c r="AB25" i="14"/>
  <c r="X25" i="14"/>
  <c r="AD25" i="14"/>
  <c r="H23" i="14"/>
  <c r="AN101" i="11" s="1"/>
  <c r="H25" i="14"/>
  <c r="AN102" i="11"/>
  <c r="AL102" i="11"/>
  <c r="F23" i="14"/>
  <c r="AL101" i="11" s="1"/>
  <c r="AL103" i="11" s="1"/>
  <c r="AL105" i="11" s="1"/>
  <c r="AL107" i="11" s="1"/>
  <c r="AG16" i="14"/>
  <c r="AG25" i="14" s="1"/>
  <c r="AM102" i="11"/>
  <c r="G23" i="14"/>
  <c r="AM101" i="11" s="1"/>
  <c r="AY99" i="11"/>
  <c r="AC25" i="14"/>
  <c r="AK102" i="11"/>
  <c r="E23" i="14"/>
  <c r="AK101" i="11" s="1"/>
  <c r="J16" i="14"/>
  <c r="AM100" i="11"/>
  <c r="G25" i="14"/>
  <c r="Q25" i="14"/>
  <c r="M16" i="14"/>
  <c r="AG10" i="14"/>
  <c r="U25" i="14"/>
  <c r="K13" i="14"/>
  <c r="K16" i="14" s="1"/>
  <c r="R107" i="17"/>
  <c r="Q108" i="17"/>
  <c r="J141" i="17"/>
  <c r="J143" i="17"/>
  <c r="K141" i="17"/>
  <c r="K143" i="17" s="1"/>
  <c r="F143" i="17"/>
  <c r="L141" i="17"/>
  <c r="L143" i="17" s="1"/>
  <c r="I143" i="17"/>
  <c r="R53" i="17"/>
  <c r="I17" i="17"/>
  <c r="I48" i="17" s="1"/>
  <c r="R31" i="17"/>
  <c r="K17" i="17"/>
  <c r="K48" i="17" s="1"/>
  <c r="N110" i="17"/>
  <c r="N84" i="17"/>
  <c r="Q84" i="17" s="1"/>
  <c r="D94" i="17"/>
  <c r="F94" i="17" s="1"/>
  <c r="F96" i="17" s="1"/>
  <c r="R30" i="17"/>
  <c r="N59" i="17"/>
  <c r="Q59" i="17" s="1"/>
  <c r="N138" i="17"/>
  <c r="Q138" i="17" s="1"/>
  <c r="R41" i="17"/>
  <c r="R121" i="17"/>
  <c r="N89" i="17"/>
  <c r="Q89" i="17" s="1"/>
  <c r="G17" i="17"/>
  <c r="G48" i="17" s="1"/>
  <c r="B48" i="17"/>
  <c r="Q90" i="17"/>
  <c r="E94" i="17"/>
  <c r="R86" i="17"/>
  <c r="G91" i="17"/>
  <c r="G143" i="17" s="1"/>
  <c r="N85" i="17"/>
  <c r="Q85" i="17" s="1"/>
  <c r="N127" i="17"/>
  <c r="R127" i="17" s="1"/>
  <c r="N133" i="17"/>
  <c r="R133" i="17" s="1"/>
  <c r="O145" i="17"/>
  <c r="Y107" i="17"/>
  <c r="AB107" i="17" s="1"/>
  <c r="N137" i="17"/>
  <c r="Q137" i="17" s="1"/>
  <c r="E91" i="17"/>
  <c r="E143" i="17" s="1"/>
  <c r="R57" i="17"/>
  <c r="N46" i="17"/>
  <c r="R46" i="17" s="1"/>
  <c r="N47" i="17"/>
  <c r="R47" i="17" s="1"/>
  <c r="D91" i="17"/>
  <c r="D143" i="17" s="1"/>
  <c r="R74" i="17"/>
  <c r="R10" i="17"/>
  <c r="Q32" i="17"/>
  <c r="R77" i="17"/>
  <c r="R36" i="17"/>
  <c r="R28" i="17"/>
  <c r="H17" i="17"/>
  <c r="H48" i="17" s="1"/>
  <c r="Q38" i="17"/>
  <c r="Q7" i="17"/>
  <c r="D48" i="17"/>
  <c r="N122" i="17"/>
  <c r="R122" i="17" s="1"/>
  <c r="N88" i="17"/>
  <c r="R88" i="17" s="1"/>
  <c r="N125" i="17"/>
  <c r="Q125" i="17" s="1"/>
  <c r="N129" i="17"/>
  <c r="R129" i="17" s="1"/>
  <c r="N80" i="17"/>
  <c r="Q80" i="17" s="1"/>
  <c r="N15" i="17"/>
  <c r="R15" i="17" s="1"/>
  <c r="J17" i="17"/>
  <c r="N128" i="17"/>
  <c r="R128" i="17" s="1"/>
  <c r="N131" i="17"/>
  <c r="R131" i="17" s="1"/>
  <c r="R63" i="17"/>
  <c r="C17" i="17"/>
  <c r="R26" i="17"/>
  <c r="Q58" i="17"/>
  <c r="M17" i="17"/>
  <c r="M48" i="17" s="1"/>
  <c r="N44" i="17"/>
  <c r="E48" i="17"/>
  <c r="B91" i="17"/>
  <c r="B143" i="17" s="1"/>
  <c r="N132" i="17"/>
  <c r="R132" i="17" s="1"/>
  <c r="Q101" i="17"/>
  <c r="R54" i="17"/>
  <c r="N87" i="17"/>
  <c r="R87" i="17" s="1"/>
  <c r="R76" i="17"/>
  <c r="Q29" i="17"/>
  <c r="R29" i="17"/>
  <c r="Q111" i="17"/>
  <c r="Q109" i="17"/>
  <c r="Q9" i="17"/>
  <c r="R9" i="17"/>
  <c r="F48" i="17"/>
  <c r="N23" i="17"/>
  <c r="N60" i="17"/>
  <c r="N6" i="17"/>
  <c r="C96" i="17"/>
  <c r="R79" i="17"/>
  <c r="N43" i="17"/>
  <c r="J11" i="17"/>
  <c r="N16" i="17"/>
  <c r="R16" i="17" s="1"/>
  <c r="R78" i="17"/>
  <c r="R52" i="17"/>
  <c r="C91" i="17"/>
  <c r="C143" i="17" s="1"/>
  <c r="R75" i="17"/>
  <c r="Q8" i="17"/>
  <c r="R21" i="17"/>
  <c r="R56" i="17"/>
  <c r="H91" i="17"/>
  <c r="H143" i="17" s="1"/>
  <c r="Q100" i="17"/>
  <c r="L17" i="17"/>
  <c r="L48" i="17" s="1"/>
  <c r="R22" i="17"/>
  <c r="Q27" i="17"/>
  <c r="R55" i="17"/>
  <c r="N20" i="17"/>
  <c r="AW101" i="11" l="1"/>
  <c r="AK103" i="11"/>
  <c r="AK105" i="11" s="1"/>
  <c r="AK107" i="11" s="1"/>
  <c r="AK111" i="11" s="1"/>
  <c r="AL109" i="11" s="1"/>
  <c r="AL111" i="11" s="1"/>
  <c r="AM109" i="11" s="1"/>
  <c r="F25" i="14"/>
  <c r="AS100" i="11"/>
  <c r="AS103" i="11" s="1"/>
  <c r="AS105" i="11" s="1"/>
  <c r="AS107" i="11" s="1"/>
  <c r="M25" i="14"/>
  <c r="E25" i="14"/>
  <c r="AW102" i="11"/>
  <c r="AP100" i="11"/>
  <c r="AP103" i="11" s="1"/>
  <c r="AP105" i="11" s="1"/>
  <c r="AP107" i="11" s="1"/>
  <c r="J25" i="14"/>
  <c r="N141" i="17"/>
  <c r="K25" i="14"/>
  <c r="AQ100" i="11"/>
  <c r="AQ103" i="11" s="1"/>
  <c r="AQ105" i="11" s="1"/>
  <c r="AQ107" i="11" s="1"/>
  <c r="AM103" i="11"/>
  <c r="AM105" i="11" s="1"/>
  <c r="AM107" i="11" s="1"/>
  <c r="AN103" i="11"/>
  <c r="AN105" i="11" s="1"/>
  <c r="AN107" i="11" s="1"/>
  <c r="Q110" i="17"/>
  <c r="R110" i="17"/>
  <c r="M141" i="17"/>
  <c r="M143" i="17" s="1"/>
  <c r="N143" i="17" s="1"/>
  <c r="N81" i="17"/>
  <c r="Q81" i="17" s="1"/>
  <c r="R84" i="17"/>
  <c r="I145" i="17"/>
  <c r="H94" i="17"/>
  <c r="H96" i="17" s="1"/>
  <c r="D96" i="17"/>
  <c r="Q47" i="17"/>
  <c r="R59" i="17"/>
  <c r="E96" i="17"/>
  <c r="E145" i="17"/>
  <c r="R138" i="17"/>
  <c r="B145" i="17"/>
  <c r="B149" i="17" s="1"/>
  <c r="C147" i="17" s="1"/>
  <c r="Q122" i="17"/>
  <c r="R89" i="17"/>
  <c r="Q88" i="17"/>
  <c r="AC107" i="17"/>
  <c r="D145" i="17"/>
  <c r="G94" i="17"/>
  <c r="G96" i="17" s="1"/>
  <c r="Q87" i="17"/>
  <c r="L145" i="17"/>
  <c r="G145" i="17"/>
  <c r="Q44" i="17"/>
  <c r="R44" i="17"/>
  <c r="J48" i="17"/>
  <c r="Q46" i="17"/>
  <c r="R85" i="17"/>
  <c r="Q63" i="17"/>
  <c r="R125" i="17"/>
  <c r="F145" i="17"/>
  <c r="R137" i="17"/>
  <c r="C48" i="17"/>
  <c r="R80" i="17"/>
  <c r="K145" i="17"/>
  <c r="H145" i="17"/>
  <c r="N91" i="17"/>
  <c r="Q91" i="17" s="1"/>
  <c r="N17" i="17"/>
  <c r="R17" i="17" s="1"/>
  <c r="Q60" i="17"/>
  <c r="R60" i="17"/>
  <c r="N11" i="17"/>
  <c r="R20" i="17"/>
  <c r="Q20" i="17"/>
  <c r="Q99" i="17"/>
  <c r="R99" i="17"/>
  <c r="Q23" i="17"/>
  <c r="R23" i="17"/>
  <c r="R43" i="17"/>
  <c r="Q43" i="17"/>
  <c r="R6" i="17"/>
  <c r="Q6" i="17"/>
  <c r="AM111" i="11" l="1"/>
  <c r="AN109" i="11" s="1"/>
  <c r="AN111" i="11" s="1"/>
  <c r="AO109" i="11" s="1"/>
  <c r="AO111" i="11" s="1"/>
  <c r="AP109" i="11" s="1"/>
  <c r="AP111" i="11" s="1"/>
  <c r="AQ109" i="11" s="1"/>
  <c r="AQ111" i="11" s="1"/>
  <c r="AR109" i="11" s="1"/>
  <c r="AR111" i="11" s="1"/>
  <c r="AS109" i="11" s="1"/>
  <c r="AS111" i="11" s="1"/>
  <c r="AT109" i="11" s="1"/>
  <c r="AT111" i="11" s="1"/>
  <c r="AU109" i="11" s="1"/>
  <c r="AU111" i="11" s="1"/>
  <c r="AV109" i="11" s="1"/>
  <c r="AV111" i="11" s="1"/>
  <c r="AW100" i="11"/>
  <c r="AW103" i="11" s="1"/>
  <c r="AW105" i="11" s="1"/>
  <c r="AW107" i="11" s="1"/>
  <c r="M145" i="17"/>
  <c r="R81" i="17"/>
  <c r="R126" i="17"/>
  <c r="R141" i="17"/>
  <c r="I94" i="17"/>
  <c r="I96" i="17" s="1"/>
  <c r="J94" i="17"/>
  <c r="J96" i="17" s="1"/>
  <c r="R91" i="17"/>
  <c r="N48" i="17"/>
  <c r="Q48" i="17" s="1"/>
  <c r="Q126" i="17"/>
  <c r="Q11" i="17"/>
  <c r="R11" i="17"/>
  <c r="K94" i="17" l="1"/>
  <c r="M94" i="17" s="1"/>
  <c r="M96" i="17" s="1"/>
  <c r="L94" i="17"/>
  <c r="L96" i="17" s="1"/>
  <c r="Q141" i="17"/>
  <c r="R48" i="17"/>
  <c r="K96" i="17" l="1"/>
  <c r="J145" i="17"/>
  <c r="C145" i="17"/>
  <c r="C149" i="17" s="1"/>
  <c r="D147" i="17" s="1"/>
  <c r="D149" i="17" s="1"/>
  <c r="E147" i="17" s="1"/>
  <c r="E149" i="17" s="1"/>
  <c r="F147" i="17" s="1"/>
  <c r="F149" i="17" s="1"/>
  <c r="G147" i="17" s="1"/>
  <c r="G149" i="17" s="1"/>
  <c r="H147" i="17" s="1"/>
  <c r="H149" i="17" s="1"/>
  <c r="I147" i="17" s="1"/>
  <c r="I149" i="17" s="1"/>
  <c r="J147" i="17" s="1"/>
  <c r="N117" i="17"/>
  <c r="R117" i="17" s="1"/>
  <c r="J149" i="17" l="1"/>
  <c r="K147" i="17" s="1"/>
  <c r="K149" i="17" s="1"/>
  <c r="L147" i="17" s="1"/>
  <c r="L149" i="17" s="1"/>
  <c r="M147" i="17" s="1"/>
  <c r="M149" i="17" s="1"/>
  <c r="R143" i="17"/>
  <c r="Q117" i="17"/>
  <c r="Q143" i="17"/>
  <c r="N145" i="17"/>
  <c r="R145" i="17" s="1"/>
  <c r="M137" i="27"/>
  <c r="M139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Mifflin Dove Jr.</author>
    <author>Bill Woolsey</author>
  </authors>
  <commentList>
    <comment ref="N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Speakers Stipends were 60% of total speaker costs. Speaker expenses were 40%
</t>
        </r>
      </text>
    </comment>
    <comment ref="A74" authorId="1" shapeId="0" xr:uid="{00000000-0006-0000-0000-000002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This section tied into 2nd worksheet - StartNew Revenue &amp; Costs</t>
        </r>
      </text>
    </comment>
    <comment ref="B8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Bill plus 2 people (FL &amp; GA) $1000 honorarium, $500 air, $450 hotel per person, $600 food per team, $500 car rental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Mifflin Dove Jr.</author>
  </authors>
  <commentList>
    <comment ref="A76" authorId="0" shapeId="0" xr:uid="{CAE565B9-E379-A246-A431-ADAF574AB1B4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Mifflin Dove Jr.</author>
  </authors>
  <commentList>
    <comment ref="A76" authorId="0" shapeId="0" xr:uid="{BAF51D2F-B71B-BB47-BA5C-6A0307D67B04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tc={2561BC1B-D54B-3741-B504-6321D8DE4A76}</author>
    <author>tc={C8CE534C-2843-4A40-A11A-4E724BCC9C83}</author>
    <author>tc={80727D23-A169-4148-93A2-EE76AD070B52}</author>
    <author>tc={E0321F40-A097-1742-B59A-B041815C073B}</author>
    <author>tc={35E65151-2ED6-8A49-993E-697432AFE775}</author>
    <author>tc={129C3BC1-1B39-3041-AAEE-8186BCF6BF1A}</author>
    <author>tc={C57E2461-5F77-AA48-86FD-923822DD19C9}</author>
    <author>tc={5A1B6B74-91B5-374F-A059-0BC2695FEE72}</author>
    <author>tc={CB166E83-23BA-CA4F-975C-013A5ECF980F}</author>
    <author>tc={CD938FAB-636C-1F4A-923F-E61DB58E3B59}</author>
    <author>tc={EB71CD38-E929-BB42-897D-1E267908A0C4}</author>
    <author>tc={04FBB6FE-668C-C645-B911-EB5AFC6DA4FF}</author>
    <author>tc={D33C4A0E-8686-D141-B5CD-179175866BCA}</author>
    <author>tc={498B3116-C14E-6C40-8E39-1516806DB9D5}</author>
    <author>tc={2468E35D-F751-854F-A230-81CFD6844391}</author>
    <author>tc={CF97299F-D4D7-BD4F-98FB-EC37AB5FA394}</author>
    <author>tc={466111E3-84CD-8844-893E-7F5A9601277B}</author>
    <author>tc={B85A515A-2A72-C040-9373-4C94B9A1FE02}</author>
    <author>tc={8149AE55-E811-134C-B1A8-97C619A65FB8}</author>
    <author>tc={9229C624-EF31-6D44-99EC-67781DA7B890}</author>
    <author>tc={7F709DD2-CF54-3746-B04D-E6F0C8C24D6E}</author>
    <author>tc={CAE3A89A-9F4E-1D49-BE6B-B0BB005E50AB}</author>
    <author>tc={7CD983A7-7D51-654A-94D1-A49914E48FDA}</author>
    <author>tc={35BC5B49-7C54-9147-8798-92AE52F23DD5}</author>
    <author>tc={C700C497-ABAC-924D-8F79-585286350012}</author>
    <author>tc={ED3A51E8-1FC7-0249-8D2C-E5BBBABB2821}</author>
    <author>tc={0CAF40A2-195A-BE4F-8F13-DC0F1CC0BF3F}</author>
    <author>tc={26820320-8C80-5745-AC6B-3249689EC306}</author>
    <author>tc={7701AED6-9FE6-8C48-8832-CDE53C6DA75F}</author>
    <author>tc={4A399BFF-DD0E-C54E-BE84-2596364DF415}</author>
    <author>tc={313D37A3-5371-5C4B-925D-CCB265C02FDF}</author>
    <author>tc={C2D20833-3D23-D44B-AD05-ACBF1D8D0000}</author>
    <author>tc={6273BFF9-A11B-6946-8E51-5D81ED9E16D6}</author>
    <author>tc={7DA56874-A4C3-5248-A77F-C37C2D7BAF0C}</author>
    <author>tc={C26E88CA-9064-014E-A371-01B7B4ADF456}</author>
    <author>tc={9C59C4B7-1066-4145-88FC-1D3E83752EDD}</author>
    <author>Mifflin Dove Jr.</author>
    <author>Bill Woolsey</author>
    <author>tc={7E200162-05AC-5B47-A318-997C86D1412C}</author>
    <author>tc={08D197D0-A974-BA46-8268-C839F7C55EB0}</author>
    <author>tc={B53E1BAE-E523-6A48-81FA-B058DA47C62F}</author>
  </authors>
  <commentList>
    <comment ref="B9" authorId="0" shapeId="0" xr:uid="{2561BC1B-D54B-3741-B504-6321D8DE4A76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
Reply:
    Trinity Lisle $5k, Bethany $1250
Reply:
    $5k Immanuel Macomb and $3k Messiah - Plano</t>
      </text>
    </comment>
    <comment ref="G9" authorId="1" shapeId="0" xr:uid="{C8CE534C-2843-4A40-A11A-4E724BCC9C83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80727D23-A169-4148-93A2-EE76AD070B52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E0321F40-A097-1742-B59A-B041815C073B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35E65151-2ED6-8A49-993E-697432AFE77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gift</t>
      </text>
    </comment>
    <comment ref="D10" authorId="5" shapeId="0" xr:uid="{129C3BC1-1B39-3041-AAEE-8186BCF6BF1A}">
      <text>
        <t>[Threaded comment]
Your version of Excel allows you to read this threaded comment; however, any edits to it will get removed if the file is opened in a newer version of Excel. Learn more: https://go.microsoft.com/fwlink/?linkid=870924
Comment:
    $10k Gloria Dei event
$10k Las Vegas donor</t>
      </text>
    </comment>
    <comment ref="H10" authorId="6" shapeId="0" xr:uid="{C57E2461-5F77-AA48-86FD-923822DD19C9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7" shapeId="0" xr:uid="{5A1B6B74-91B5-374F-A059-0BC2695FEE72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8" shapeId="0" xr:uid="{CB166E83-23BA-CA4F-975C-013A5ECF980F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9" shapeId="0" xr:uid="{CD938FAB-636C-1F4A-923F-E61DB58E3B59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0" shapeId="0" xr:uid="{EB71CD38-E929-BB42-897D-1E267908A0C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1" shapeId="0" xr:uid="{04FBB6FE-668C-C645-B911-EB5AFC6DA4F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K37" authorId="12" shapeId="0" xr:uid="{D33C4A0E-8686-D141-B5CD-179175866BC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$87000
</t>
      </text>
    </comment>
    <comment ref="D41" authorId="13" shapeId="0" xr:uid="{498B3116-C14E-6C40-8E39-1516806DB9D5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G41" authorId="14" shapeId="0" xr:uid="{2468E35D-F751-854F-A230-81CFD6844391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J41" authorId="15" shapeId="0" xr:uid="{CF97299F-D4D7-BD4F-98FB-EC37AB5FA394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M41" authorId="16" shapeId="0" xr:uid="{466111E3-84CD-8844-893E-7F5A9601277B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B42" authorId="17" shapeId="0" xr:uid="{B85A515A-2A72-C040-9373-4C94B9A1FE02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M53" authorId="18" shapeId="0" xr:uid="{8149AE55-E811-134C-B1A8-97C619A65FB8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B58" authorId="19" shapeId="0" xr:uid="{9229C624-EF31-6D44-99EC-67781DA7B890}">
      <text>
        <t>[Threaded comment]
Your version of Excel allows you to read this threaded comment; however, any edits to it will get removed if the file is opened in a newer version of Excel. Learn more: https://go.microsoft.com/fwlink/?linkid=870924
Comment:
    $3k monthly</t>
      </text>
    </comment>
    <comment ref="C58" authorId="20" shapeId="0" xr:uid="{7F709DD2-CF54-3746-B04D-E6F0C8C24D6E}">
      <text>
        <t>[Threaded comment]
Your version of Excel allows you to read this threaded comment; however, any edits to it will get removed if the file is opened in a newer version of Excel. Learn more: https://go.microsoft.com/fwlink/?linkid=870924
Comment:
    $1300 - Gloria Dei donor event
$1800 - 2020 Donor thank you gifts</t>
      </text>
    </comment>
    <comment ref="D58" authorId="21" shapeId="0" xr:uid="{CAE3A89A-9F4E-1D49-BE6B-B0BB005E50AB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2" shapeId="0" xr:uid="{7CD983A7-7D51-654A-94D1-A49914E48FDA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3" shapeId="0" xr:uid="{35BC5B49-7C54-9147-8798-92AE52F23DD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4" shapeId="0" xr:uid="{C700C497-ABAC-924D-8F79-585286350012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5" shapeId="0" xr:uid="{ED3A51E8-1FC7-0249-8D2C-E5BBBABB282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6" shapeId="0" xr:uid="{0CAF40A2-195A-BE4F-8F13-DC0F1CC0BF3F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7" shapeId="0" xr:uid="{26820320-8C80-5745-AC6B-3249689EC306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8" shapeId="0" xr:uid="{7701AED6-9FE6-8C48-8832-CDE53C6DA75F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B63" authorId="29" shapeId="0" xr:uid="{4A399BFF-DD0E-C54E-BE84-2596364DF415}">
      <text>
        <t>[Threaded comment]
Your version of Excel allows you to read this threaded comment; however, any edits to it will get removed if the file is opened in a newer version of Excel. Learn more: https://go.microsoft.com/fwlink/?linkid=870924
Comment:
    $3746 Feathr
$500 podcast agent</t>
      </text>
    </comment>
    <comment ref="C63" authorId="30" shapeId="0" xr:uid="{313D37A3-5371-5C4B-925D-CCB265C02FDF}">
      <text>
        <t>[Threaded comment]
Your version of Excel allows you to read this threaded comment; however, any edits to it will get removed if the file is opened in a newer version of Excel. Learn more: https://go.microsoft.com/fwlink/?linkid=870924
Comment:
    $2600 - digizent 
$6250 - feathr 6 mo contract
$1500 - unseminary
$6250 - Highland
$4000 - BigClick</t>
      </text>
    </comment>
    <comment ref="K69" authorId="31" shapeId="0" xr:uid="{C2D20833-3D23-D44B-AD05-ACBF1D8D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D70" authorId="32" shapeId="0" xr:uid="{6273BFF9-A11B-6946-8E51-5D81ED9E16D6}">
      <text>
        <t>[Threaded comment]
Your version of Excel allows you to read this threaded comment; however, any edits to it will get removed if the file is opened in a newer version of Excel. Learn more: https://go.microsoft.com/fwlink/?linkid=870924
Comment:
    $6000 - BigClick</t>
      </text>
    </comment>
    <comment ref="E70" authorId="33" shapeId="0" xr:uid="{7DA56874-A4C3-5248-A77F-C37C2D7BAF0C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Highland Solutions final payment</t>
      </text>
    </comment>
    <comment ref="C71" authorId="34" shapeId="0" xr:uid="{C26E88CA-9064-014E-A371-01B7B4ADF456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</t>
      </text>
    </comment>
    <comment ref="L74" authorId="35" shapeId="0" xr:uid="{9C59C4B7-1066-4145-88FC-1D3E83752EDD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P81" authorId="36" shapeId="0" xr:uid="{EED457F2-868B-6C4C-AD6E-77FD92E5C6CF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A93" authorId="37" shapeId="0" xr:uid="{3F05343C-714C-B240-A7BE-99AAD628B6E3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G94" authorId="38" shapeId="0" xr:uid="{7E200162-05AC-5B47-A318-997C86D1412C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F98" authorId="39" shapeId="0" xr:uid="{08D197D0-A974-BA46-8268-C839F7C55EB0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K100" authorId="40" shapeId="0" xr:uid="{B53E1BAE-E523-6A48-81FA-B058DA47C62F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37" authorId="36" shapeId="0" xr:uid="{07C6AB79-CC9F-BE4D-82E2-568481E76100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tc={71002D8A-A938-944D-A52A-78066BAC8C9B}</author>
    <author>tc={6257DFB0-B06D-CD43-A7CF-BDF624123BD0}</author>
    <author>tc={5D907014-10D8-1E4A-80BD-4EF97E152545}</author>
    <author>tc={AC582EE4-5421-4744-884D-A85C4F29E87E}</author>
    <author>tc={F11289D6-6545-F241-8DEB-B39EAFD061E0}</author>
    <author>tc={681E775D-4618-C14F-AA8E-A36C7CB1A4CC}</author>
    <author>tc={F2D4B8AB-DA64-A747-A3E3-70ADAA5DB481}</author>
    <author>tc={8D83496D-21DA-1A41-9260-6013FCAE90CB}</author>
    <author>tc={CBD08851-5D94-994B-9FA7-B05853185D1E}</author>
    <author>tc={EDCA76B9-EE08-3842-AD28-DB82667CF158}</author>
    <author>tc={7E1E54FA-45F5-C149-8BEE-7C1E051E335E}</author>
    <author>tc={5F0229A9-136C-8B42-82CF-CE96C9BCB1A7}</author>
    <author>tc={0F17589D-FB0C-DC42-ACCA-C3D46264E1C2}</author>
    <author>tc={DD49914E-3302-8448-AD0B-C3C4923E1096}</author>
    <author>tc={ED362FF8-51A2-CA44-8CD1-F0B54D78DE2A}</author>
    <author>tc={5FF2CC78-3F1A-0A44-9D95-8BF121EB21C4}</author>
    <author>tc={DF13E2E1-6672-5F43-9A43-EBCFD6D44105}</author>
    <author>tc={7F2F7780-8E2C-D541-8771-2DCC9AFC3E72}</author>
    <author>tc={6F0B5A82-3B1D-9349-BF2B-381098A9C15A}</author>
    <author>tc={4DBCE831-23D6-E640-BBB4-1FF4DB939D4D}</author>
    <author>tc={4C6FA924-3CBA-7544-8C4F-69FD19F00F07}</author>
    <author>tc={8C653D63-004B-6B4B-B410-11112BE2050D}</author>
    <author>tc={9CC99C56-1A37-0D4C-944F-701827930E28}</author>
    <author>tc={69097A93-BC29-CA4C-9938-9142D0ACFA26}</author>
    <author>tc={20A8D935-BBC8-7C48-932F-C6026E3CE85D}</author>
    <author>tc={81C95577-9B1E-F243-B09B-FF861A74F500}</author>
    <author>tc={719DF5D0-CE7B-544B-BEAC-B6C5F8A4DBDC}</author>
    <author>tc={9CE20661-37E5-4846-BFFD-AB4347B3CBD8}</author>
    <author>tc={F9FE9CC5-00D3-2D49-ACBB-6ACFEC1EB28F}</author>
    <author>tc={EF277DD1-CE91-5542-ADFF-0BCEB97942C4}</author>
    <author>tc={0A26406D-4E62-0441-8900-4DEA1AD97B01}</author>
    <author>tc={7C5C311F-31F7-AA4B-82DB-1572F910C7A0}</author>
    <author>tc={4D2BA1C1-BC57-7D44-9DDC-4AF4D2315557}</author>
    <author>tc={174EB26B-912F-584A-BBE4-F4AD96E348E4}</author>
    <author>tc={45F0E3F2-B1D6-AE4A-A453-64EFC7CA0CD7}</author>
    <author>tc={8D4F697B-3862-0241-BB8F-FF5C327EA6D7}</author>
    <author>Mifflin Dove Jr.</author>
    <author>Bill Woolsey</author>
    <author>tc={7D4D872B-E8CA-EB47-B783-9E632DD3493F}</author>
    <author>tc={40B4107D-6767-BF4E-9EB3-81DA9852B670}</author>
    <author>tc={4F3FB6DE-BDD4-2F44-9135-A935AEB48B71}</author>
  </authors>
  <commentList>
    <comment ref="B9" authorId="0" shapeId="0" xr:uid="{71002D8A-A938-944D-A52A-78066BAC8C9B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
Reply:
    Trinity Lisle $5k, Bethany $1250
Reply:
    $5k Immanuel Macomb and $3k Messiah - Plano</t>
      </text>
    </comment>
    <comment ref="G9" authorId="1" shapeId="0" xr:uid="{6257DFB0-B06D-CD43-A7CF-BDF624123BD0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5D907014-10D8-1E4A-80BD-4EF97E152545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AC582EE4-5421-4744-884D-A85C4F29E87E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F11289D6-6545-F241-8DEB-B39EAFD061E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gift</t>
      </text>
    </comment>
    <comment ref="D10" authorId="5" shapeId="0" xr:uid="{681E775D-4618-C14F-AA8E-A36C7CB1A4CC}">
      <text>
        <t>[Threaded comment]
Your version of Excel allows you to read this threaded comment; however, any edits to it will get removed if the file is opened in a newer version of Excel. Learn more: https://go.microsoft.com/fwlink/?linkid=870924
Comment:
    $10k Gloria Dei event
$10k Las Vegas donor</t>
      </text>
    </comment>
    <comment ref="H10" authorId="6" shapeId="0" xr:uid="{F2D4B8AB-DA64-A747-A3E3-70ADAA5DB481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7" shapeId="0" xr:uid="{8D83496D-21DA-1A41-9260-6013FCAE90CB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8" shapeId="0" xr:uid="{CBD08851-5D94-994B-9FA7-B05853185D1E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9" shapeId="0" xr:uid="{EDCA76B9-EE08-3842-AD28-DB82667CF158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0" shapeId="0" xr:uid="{7E1E54FA-45F5-C149-8BEE-7C1E051E335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1" shapeId="0" xr:uid="{5F0229A9-136C-8B42-82CF-CE96C9BCB1A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K37" authorId="12" shapeId="0" xr:uid="{0F17589D-FB0C-DC42-ACCA-C3D46264E1C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$87000
</t>
      </text>
    </comment>
    <comment ref="D41" authorId="13" shapeId="0" xr:uid="{DD49914E-3302-8448-AD0B-C3C4923E1096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G41" authorId="14" shapeId="0" xr:uid="{ED362FF8-51A2-CA44-8CD1-F0B54D78DE2A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J41" authorId="15" shapeId="0" xr:uid="{5FF2CC78-3F1A-0A44-9D95-8BF121EB21C4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M41" authorId="16" shapeId="0" xr:uid="{DF13E2E1-6672-5F43-9A43-EBCFD6D44105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B42" authorId="17" shapeId="0" xr:uid="{7F2F7780-8E2C-D541-8771-2DCC9AFC3E72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M53" authorId="18" shapeId="0" xr:uid="{6F0B5A82-3B1D-9349-BF2B-381098A9C15A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B58" authorId="19" shapeId="0" xr:uid="{4DBCE831-23D6-E640-BBB4-1FF4DB939D4D}">
      <text>
        <t>[Threaded comment]
Your version of Excel allows you to read this threaded comment; however, any edits to it will get removed if the file is opened in a newer version of Excel. Learn more: https://go.microsoft.com/fwlink/?linkid=870924
Comment:
    $3k monthly</t>
      </text>
    </comment>
    <comment ref="C58" authorId="20" shapeId="0" xr:uid="{4C6FA924-3CBA-7544-8C4F-69FD19F00F07}">
      <text>
        <t>[Threaded comment]
Your version of Excel allows you to read this threaded comment; however, any edits to it will get removed if the file is opened in a newer version of Excel. Learn more: https://go.microsoft.com/fwlink/?linkid=870924
Comment:
    $1300 - Gloria Dei donor event
$1800 - 2020 Donor thank you gifts</t>
      </text>
    </comment>
    <comment ref="D58" authorId="21" shapeId="0" xr:uid="{8C653D63-004B-6B4B-B410-11112BE2050D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2" shapeId="0" xr:uid="{9CC99C56-1A37-0D4C-944F-701827930E28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3" shapeId="0" xr:uid="{69097A93-BC29-CA4C-9938-9142D0ACFA2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4" shapeId="0" xr:uid="{20A8D935-BBC8-7C48-932F-C6026E3CE85D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5" shapeId="0" xr:uid="{81C95577-9B1E-F243-B09B-FF861A74F5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6" shapeId="0" xr:uid="{719DF5D0-CE7B-544B-BEAC-B6C5F8A4DBDC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7" shapeId="0" xr:uid="{9CE20661-37E5-4846-BFFD-AB4347B3CBD8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8" shapeId="0" xr:uid="{F9FE9CC5-00D3-2D49-ACBB-6ACFEC1EB28F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B63" authorId="29" shapeId="0" xr:uid="{EF277DD1-CE91-5542-ADFF-0BCEB97942C4}">
      <text>
        <t>[Threaded comment]
Your version of Excel allows you to read this threaded comment; however, any edits to it will get removed if the file is opened in a newer version of Excel. Learn more: https://go.microsoft.com/fwlink/?linkid=870924
Comment:
    $3746 Feathr
$500 podcast agent</t>
      </text>
    </comment>
    <comment ref="C63" authorId="30" shapeId="0" xr:uid="{0A26406D-4E62-0441-8900-4DEA1AD97B01}">
      <text>
        <t>[Threaded comment]
Your version of Excel allows you to read this threaded comment; however, any edits to it will get removed if the file is opened in a newer version of Excel. Learn more: https://go.microsoft.com/fwlink/?linkid=870924
Comment:
    $2600 - digizent 
$6250 - feathr 6 mo contract
$1500 - unseminary
$6250 - Highland
$4000 - BigClick</t>
      </text>
    </comment>
    <comment ref="K69" authorId="31" shapeId="0" xr:uid="{7C5C311F-31F7-AA4B-82DB-1572F910C7A0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D70" authorId="32" shapeId="0" xr:uid="{4D2BA1C1-BC57-7D44-9DDC-4AF4D2315557}">
      <text>
        <t>[Threaded comment]
Your version of Excel allows you to read this threaded comment; however, any edits to it will get removed if the file is opened in a newer version of Excel. Learn more: https://go.microsoft.com/fwlink/?linkid=870924
Comment:
    $6000 - BigClick</t>
      </text>
    </comment>
    <comment ref="E70" authorId="33" shapeId="0" xr:uid="{174EB26B-912F-584A-BBE4-F4AD96E348E4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Highland Solutions final payment</t>
      </text>
    </comment>
    <comment ref="C71" authorId="34" shapeId="0" xr:uid="{45F0E3F2-B1D6-AE4A-A453-64EFC7CA0CD7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</t>
      </text>
    </comment>
    <comment ref="L74" authorId="35" shapeId="0" xr:uid="{8D4F697B-3862-0241-BB8F-FF5C327EA6D7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P81" authorId="36" shapeId="0" xr:uid="{C5A0EF54-8968-424C-9D52-23D7DF78AA29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A93" authorId="37" shapeId="0" xr:uid="{FA1C08DF-F5CE-F04C-8C35-53DD055FB223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G94" authorId="38" shapeId="0" xr:uid="{7D4D872B-E8CA-EB47-B783-9E632DD3493F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F98" authorId="39" shapeId="0" xr:uid="{40B4107D-6767-BF4E-9EB3-81DA9852B670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K100" authorId="40" shapeId="0" xr:uid="{4F3FB6DE-BDD4-2F44-9135-A935AEB48B7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37" authorId="36" shapeId="0" xr:uid="{39637194-6CFB-B64D-B8AD-CDDE52F4EEAA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Mifflin Dove Jr.</author>
  </authors>
  <commentList>
    <comment ref="B19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$2,350 is 2017 average monthly pay.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Mifflin Dove Jr.</author>
    <author>Bill Woolsey</author>
    <author>Bill R Woolsey</author>
  </authors>
  <commentList>
    <comment ref="H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Trinity Klein</t>
        </r>
      </text>
    </comment>
    <comment ref="I9" authorId="1" shapeId="0" xr:uid="{00000000-0006-0000-0100-000002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Trinity Klein - had budgeted $50k</t>
        </r>
      </text>
    </comment>
    <comment ref="AC9" authorId="2" shapeId="0" xr:uid="{4894DB62-CE24-3A4F-BB67-F504C6F30713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Kraft $115k</t>
        </r>
      </text>
    </comment>
    <comment ref="AK9" authorId="2" shapeId="0" xr:uid="{5F78163F-5A87-254A-A725-145729D1D922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Marco Island</t>
        </r>
      </text>
    </comment>
    <comment ref="B11" authorId="1" shapeId="0" xr:uid="{00000000-0006-0000-0100-000003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Trinity Lisle $5k</t>
        </r>
      </text>
    </comment>
    <comment ref="F11" authorId="1" shapeId="0" xr:uid="{00000000-0006-0000-0100-000004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Trinity Lisle $5k</t>
        </r>
      </text>
    </comment>
    <comment ref="G11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 Immanuel McComb - Next Jan $5k</t>
        </r>
      </text>
    </comment>
    <comment ref="I11" authorId="1" shapeId="0" xr:uid="{00000000-0006-0000-0100-000006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Redeemer Ft. Collins $3.5k</t>
        </r>
      </text>
    </comment>
    <comment ref="J11" authorId="1" shapeId="0" xr:uid="{00000000-0006-0000-0100-000007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Gloria Dei $10k
Summit $2500
Ft. Collins $4k</t>
        </r>
      </text>
    </comment>
    <comment ref="K11" authorId="1" shapeId="0" xr:uid="{00000000-0006-0000-0100-000008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Gloria Dei $10k</t>
        </r>
      </text>
    </comment>
    <comment ref="L11" authorId="2" shapeId="0" xr:uid="{00000000-0006-0000-0100-000009000000}">
      <text>
        <r>
          <rPr>
            <b/>
            <sz val="10"/>
            <color indexed="81"/>
            <rFont val="Calibri"/>
            <family val="2"/>
          </rPr>
          <t>Bill R Woolsey:</t>
        </r>
        <r>
          <rPr>
            <sz val="10"/>
            <color indexed="81"/>
            <rFont val="Calibri"/>
            <family val="2"/>
          </rPr>
          <t xml:space="preserve">
Trinity Lisle $5k
Summit $2500</t>
        </r>
      </text>
    </comment>
    <comment ref="M11" authorId="1" shapeId="0" xr:uid="{00000000-0006-0000-0100-00000A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Summitt $2500</t>
        </r>
      </text>
    </comment>
    <comment ref="R11" authorId="1" shapeId="0" xr:uid="{00000000-0006-0000-0100-00000B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St. John's &amp; Immanuel Macomb</t>
        </r>
      </text>
    </comment>
    <comment ref="T11" authorId="1" shapeId="0" xr:uid="{00000000-0006-0000-0100-00000C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summitt $2500</t>
        </r>
      </text>
    </comment>
    <comment ref="V11" authorId="1" shapeId="0" xr:uid="{00000000-0006-0000-0100-00000D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Salem 5k</t>
        </r>
      </text>
    </comment>
    <comment ref="W11" authorId="1" shapeId="0" xr:uid="{00000000-0006-0000-0100-00000E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summitt $2500 + Messiah Plano $500</t>
        </r>
      </text>
    </comment>
    <comment ref="X11" authorId="2" shapeId="0" xr:uid="{00000000-0006-0000-0100-00000F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$2.5k Summit</t>
        </r>
      </text>
    </comment>
    <comment ref="Z11" authorId="1" shapeId="0" xr:uid="{00000000-0006-0000-0100-000010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McKinney $12000
</t>
        </r>
        <r>
          <rPr>
            <sz val="9"/>
            <color rgb="FF000000"/>
            <rFont val="Calibri"/>
            <family val="2"/>
          </rPr>
          <t>Summit $2500</t>
        </r>
      </text>
    </comment>
    <comment ref="AA11" authorId="1" shapeId="0" xr:uid="{00000000-0006-0000-0100-000011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$10,000 Gloria Dei</t>
        </r>
      </text>
    </comment>
    <comment ref="AC11" authorId="1" shapeId="0" xr:uid="{00000000-0006-0000-0100-00001200000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Summit $2500</t>
        </r>
      </text>
    </comment>
    <comment ref="AK11" authorId="2" shapeId="0" xr:uid="{276B4EC2-795D-6347-A115-C2D5E9F1250B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Immanuel Macomb $5k
</t>
        </r>
        <r>
          <rPr>
            <sz val="10"/>
            <color rgb="FF000000"/>
            <rFont val="Tahoma"/>
            <family val="2"/>
          </rPr>
          <t>Summit $2500</t>
        </r>
      </text>
    </comment>
    <comment ref="AM11" authorId="2" shapeId="0" xr:uid="{A0349EF5-73FC-AE4C-8913-C09A09264EB9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Summit $2500 + Trinity Lisle $5000</t>
        </r>
      </text>
    </comment>
    <comment ref="AN11" authorId="2" shapeId="0" xr:uid="{02ACFFA6-0354-1F4D-BA61-BF7C302EBE1B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King of Kings</t>
        </r>
      </text>
    </comment>
    <comment ref="AO11" authorId="2" shapeId="0" xr:uid="{B38A0847-7D5E-2D44-807A-6F51730A3FB6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Bethany + St. Paul - Trenton - min. $2k</t>
        </r>
      </text>
    </comment>
    <comment ref="AP11" authorId="2" shapeId="0" xr:uid="{F1AF2843-8459-8B44-901F-1EC8EF1FCA99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Trinity Lisle $5k</t>
        </r>
      </text>
    </comment>
    <comment ref="AQ11" authorId="2" shapeId="0" xr:uid="{140DB8BA-624D-7448-9745-744F01D0D3E4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Summit</t>
        </r>
      </text>
    </comment>
    <comment ref="AS11" authorId="2" shapeId="0" xr:uid="{D6823AFB-C798-4042-9AEE-B376AE4AD32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Our Savior McKinney $12k
</t>
        </r>
        <r>
          <rPr>
            <sz val="10"/>
            <color rgb="FF000000"/>
            <rFont val="Tahoma"/>
            <family val="2"/>
          </rPr>
          <t xml:space="preserve">Summit $2,500
</t>
        </r>
        <r>
          <rPr>
            <sz val="10"/>
            <color rgb="FF000000"/>
            <rFont val="Tahoma"/>
            <family val="2"/>
          </rPr>
          <t>(Gloria Dei $10,000 is unknown)</t>
        </r>
      </text>
    </comment>
    <comment ref="AT11" authorId="2" shapeId="0" xr:uid="{777E3E6B-E759-FB41-B1BD-C1F381D2812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Trinity Lisle?</t>
        </r>
      </text>
    </comment>
    <comment ref="AV11" authorId="2" shapeId="0" xr:uid="{2E4DC3B2-6BCE-CC4B-AB41-D42A924F7E58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Summit</t>
        </r>
      </text>
    </comment>
    <comment ref="S12" authorId="2" shapeId="0" xr:uid="{00000000-0006-0000-0100-000013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 $5k dinner did not happen</t>
        </r>
      </text>
    </comment>
    <comment ref="T12" authorId="2" shapeId="0" xr:uid="{00000000-0006-0000-0100-000014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Omitted $5k dinner</t>
        </r>
      </text>
    </comment>
    <comment ref="V12" authorId="2" shapeId="0" xr:uid="{00000000-0006-0000-0100-000015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Includes $20k for Decatur &amp; $5k R.A.</t>
        </r>
      </text>
    </comment>
    <comment ref="AK12" authorId="2" shapeId="0" xr:uid="{6FFFF276-9360-684B-BB40-97CE16CF228A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Normal + Ermeling's $15k</t>
        </r>
      </text>
    </comment>
    <comment ref="AO12" authorId="2" shapeId="0" xr:uid="{94E2C44B-030B-8947-8F1E-5D3CD080843B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Need April and May donor dinners</t>
        </r>
      </text>
    </comment>
    <comment ref="AS12" authorId="2" shapeId="0" xr:uid="{CB786A70-3464-134E-BC84-069846A9A641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donor dinner</t>
        </r>
      </text>
    </comment>
    <comment ref="AC17" authorId="2" shapeId="0" xr:uid="{00000000-0006-0000-0100-000017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Seattle</t>
        </r>
      </text>
    </comment>
    <comment ref="R22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Unrealized capital loss ($54.05)
Interest Income $.04</t>
        </r>
      </text>
    </comment>
    <comment ref="AA22" authorId="2" shapeId="0" xr:uid="{00000000-0006-0000-0100-000019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LALC expenses</t>
        </r>
      </text>
    </comment>
    <comment ref="H31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Final contract pmt. + July contract</t>
        </r>
      </text>
    </comment>
    <comment ref="L31" authorId="1" shapeId="0" xr:uid="{00000000-0006-0000-0100-00001B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$11,667 normal contract + $2000 for Oscar</t>
        </r>
      </text>
    </comment>
    <comment ref="X33" authorId="2" shapeId="0" xr:uid="{00000000-0006-0000-0100-00001C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June &amp; July pymnt</t>
        </r>
      </text>
    </comment>
    <comment ref="B34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$4,407 actual vs projected of $11,700
</t>
        </r>
      </text>
    </comment>
    <comment ref="X35" authorId="2" shapeId="0" xr:uid="{00000000-0006-0000-0100-00001E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Michigan convention</t>
        </r>
      </text>
    </comment>
    <comment ref="AA35" authorId="2" shapeId="0" xr:uid="{00000000-0006-0000-0100-00001F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LALC conference</t>
        </r>
      </text>
    </comment>
    <comment ref="B45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Kindful for $2,400</t>
        </r>
      </text>
    </comment>
    <comment ref="AA49" authorId="2" shapeId="0" xr:uid="{00000000-0006-0000-0100-000021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NYC Donor event</t>
        </r>
      </text>
    </comment>
    <comment ref="B5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K&amp;S Sportswear Logo Shirts $1,619</t>
        </r>
      </text>
    </comment>
    <comment ref="X50" authorId="2" shapeId="0" xr:uid="{00000000-0006-0000-0100-000023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Chicago Church planting meeting</t>
        </r>
      </text>
    </comment>
    <comment ref="Z50" authorId="2" shapeId="0" xr:uid="{00000000-0006-0000-0100-000024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Sugarland donor dinner</t>
        </r>
      </text>
    </comment>
    <comment ref="AB50" authorId="2" shapeId="0" xr:uid="{00000000-0006-0000-0100-000025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Mega sponsorship</t>
        </r>
      </text>
    </comment>
    <comment ref="AT51" authorId="2" shapeId="0" xr:uid="{A0658530-2CC9-7C49-84B1-23F0F2A3C732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Will see how first half of year does before spending.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AC53" authorId="2" shapeId="0" xr:uid="{00000000-0006-0000-0100-000026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2-day meeting</t>
        </r>
      </text>
    </comment>
    <comment ref="X57" authorId="2" shapeId="0" xr:uid="{00000000-0006-0000-0100-000027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storybrand</t>
        </r>
      </text>
    </comment>
    <comment ref="Z57" authorId="2" shapeId="0" xr:uid="{00000000-0006-0000-0100-000028000000}">
      <text>
        <r>
          <rPr>
            <b/>
            <sz val="10"/>
            <color indexed="81"/>
            <rFont val="Calibri"/>
            <family val="2"/>
          </rPr>
          <t>Bill R Woolsey:</t>
        </r>
        <r>
          <rPr>
            <sz val="10"/>
            <color indexed="81"/>
            <rFont val="Calibri"/>
            <family val="2"/>
          </rPr>
          <t xml:space="preserve">
2nd half of photog</t>
        </r>
      </text>
    </comment>
    <comment ref="AL57" authorId="2" shapeId="0" xr:uid="{011EC0E6-3AA9-7343-8090-F6956BDBE007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Remainder of Classy LLama</t>
        </r>
      </text>
    </comment>
    <comment ref="AR57" authorId="2" shapeId="0" xr:uid="{363AC844-F289-8146-9A14-75ED690D311F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Will see how first half of year does before spending.</t>
        </r>
      </text>
    </comment>
    <comment ref="AT57" authorId="2" shapeId="0" xr:uid="{5903D009-C1AD-E748-86FA-69315E125AB9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Will see how first half of year does before spending.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X58" authorId="2" shapeId="0" xr:uid="{00000000-0006-0000-0100-000029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1/2 of web site contract</t>
        </r>
      </text>
    </comment>
    <comment ref="AK58" authorId="2" shapeId="0" xr:uid="{8246BD47-768C-A246-9A9B-5063C405D9F5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&amp; Feb are to complete buildout of website.</t>
        </r>
      </text>
    </comment>
    <comment ref="AN59" authorId="2" shapeId="0" xr:uid="{AD9C85B7-51EB-BF42-88EB-BD4F096560BB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Dallas Donor Dinner</t>
        </r>
      </text>
    </comment>
    <comment ref="AO59" authorId="2" shapeId="0" xr:uid="{EB9C38C8-04B1-1F4B-98D2-532CA7755058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Decatur Donor Dinner</t>
        </r>
      </text>
    </comment>
    <comment ref="AS59" authorId="2" shapeId="0" xr:uid="{E26EBE8F-E34A-E343-BD36-19D7AADE43B5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Austin Donor Dinner</t>
        </r>
      </text>
    </comment>
    <comment ref="AT59" authorId="2" shapeId="0" xr:uid="{899A498B-DFCB-2142-9B03-C1086E276CED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Las Vegas Donor Dinner</t>
        </r>
      </text>
    </comment>
    <comment ref="B60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Allegra Printing - $279</t>
        </r>
      </text>
    </comment>
    <comment ref="S60" authorId="2" shapeId="0" xr:uid="{00000000-0006-0000-0100-00002C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Printed pieces for dinners</t>
        </r>
      </text>
    </comment>
    <comment ref="AA60" authorId="2" shapeId="0" xr:uid="{00000000-0006-0000-0100-00002D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reduced from 2500</t>
        </r>
      </text>
    </comment>
    <comment ref="G65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No 2017 Conference</t>
        </r>
      </text>
    </comment>
    <comment ref="AB66" authorId="2" shapeId="0" xr:uid="{00000000-0006-0000-0100-00002F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Seattle Workshop</t>
        </r>
      </text>
    </comment>
    <comment ref="N67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Speakers Stipends were 60% of total speaker costs. Speaker expenses were 40%
</t>
        </r>
      </text>
    </comment>
    <comment ref="AD67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Speakers Stipends were 60% of total speaker costs. Speaker expenses were 40%
</t>
        </r>
      </text>
    </comment>
    <comment ref="AE67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Speakers Stipends were 60% of total speaker costs. Speaker expenses were 40%
</t>
        </r>
      </text>
    </comment>
    <comment ref="AW67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Speakers Stipends were 60% of total speaker costs. Speaker expenses were 40%
</t>
        </r>
      </text>
    </comment>
    <comment ref="D76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Franciscan Renewal Center bill for Feb. Event.
</t>
        </r>
      </text>
    </comment>
    <comment ref="J76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No conference in 2017</t>
        </r>
      </text>
    </comment>
    <comment ref="A79" authorId="1" shapeId="0" xr:uid="{00000000-0006-0000-0100-000036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This section tied into 2nd worksheet - StartNew Revenue &amp; Costs</t>
        </r>
      </text>
    </comment>
    <comment ref="X80" authorId="2" shapeId="0" xr:uid="{00000000-0006-0000-0100-000037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Deleted 1,740 in assessment fees</t>
        </r>
      </text>
    </comment>
    <comment ref="B81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Actual $2,100</t>
        </r>
      </text>
    </comment>
    <comment ref="B82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$8,200 invoice: first pmt $2,200 followed by monthly pmts of $1,000 through July</t>
        </r>
      </text>
    </comment>
    <comment ref="T87" authorId="2" shapeId="0" xr:uid="{00000000-0006-0000-0100-00003A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$1217.50 for POP projector</t>
        </r>
      </text>
    </comment>
    <comment ref="B92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Bill plus 2 people (FL &amp; GA) $1000 honorarium, $500 air, $450 hotel per person, $600 food per team, $500 car rental
--- Actual $4,076
</t>
        </r>
      </text>
    </comment>
    <comment ref="Z92" authorId="2" shapeId="0" xr:uid="{00000000-0006-0000-0100-00003C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FLGA sponsorship</t>
        </r>
      </text>
    </comment>
    <comment ref="AA95" authorId="2" shapeId="0" xr:uid="{00000000-0006-0000-0100-00003D000000}">
      <text>
        <r>
          <rPr>
            <b/>
            <sz val="10"/>
            <color rgb="FF000000"/>
            <rFont val="Calibri"/>
            <family val="2"/>
          </rPr>
          <t>Bill R Woolsey: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Donor Dinner</t>
        </r>
      </text>
    </comment>
    <comment ref="B99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$13,518.75 new salary plus benefitd TBD
$16,830 actual
</t>
        </r>
      </text>
    </comment>
    <comment ref="G100" authorId="1" shapeId="0" xr:uid="{00000000-0006-0000-0100-00003F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Includes $1500/mo for pttime Man Dir thru Aug</t>
        </r>
      </text>
    </comment>
    <comment ref="L100" authorId="2" shapeId="0" xr:uid="{00000000-0006-0000-0100-000040000000}">
      <text>
        <r>
          <rPr>
            <b/>
            <sz val="10"/>
            <color indexed="81"/>
            <rFont val="Calibri"/>
            <family val="2"/>
          </rPr>
          <t>Bill R Woolsey:</t>
        </r>
        <r>
          <rPr>
            <sz val="10"/>
            <color indexed="81"/>
            <rFont val="Calibri"/>
            <family val="2"/>
          </rPr>
          <t xml:space="preserve">
Pd. Oscar $2k for pre-employment work.</t>
        </r>
      </text>
    </comment>
    <comment ref="D101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Mifflin Dove Jr.:</t>
        </r>
        <r>
          <rPr>
            <sz val="9"/>
            <color indexed="81"/>
            <rFont val="Tahoma"/>
            <family val="2"/>
          </rPr>
          <t xml:space="preserve">
Michigan tax refund of $1246.74 received.</t>
        </r>
      </text>
    </comment>
    <comment ref="E102" authorId="1" shapeId="0" xr:uid="{00000000-0006-0000-0100-000042000000}">
      <text>
        <r>
          <rPr>
            <b/>
            <sz val="9"/>
            <color indexed="81"/>
            <rFont val="Calibri"/>
            <family val="2"/>
          </rPr>
          <t>Bill Woolsey:</t>
        </r>
        <r>
          <rPr>
            <sz val="9"/>
            <color indexed="81"/>
            <rFont val="Calibri"/>
            <family val="2"/>
          </rPr>
          <t xml:space="preserve">
Added Jenn Hart salary; deducted from Man Dir package</t>
        </r>
      </text>
    </comment>
    <comment ref="A109" authorId="0" shapeId="0" xr:uid="{00000000-0006-0000-0100-000043000000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  <comment ref="A113" authorId="0" shapeId="0" xr:uid="{00000000-0006-0000-0100-000044000000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assets on the balance sheet. Just for comparision with available cash.</t>
        </r>
      </text>
    </comment>
    <comment ref="W115" authorId="2" shapeId="0" xr:uid="{00000000-0006-0000-0100-000045000000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Takes into account $28,745 of restricted (not available) funds.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Bill R Woolsey</author>
    <author>tc={18FD6C3A-C458-4E47-A9F6-ED0D6BD2FAE5}</author>
    <author>tc={AA0EB3AA-79BA-7844-94B8-D2E514BA9E4D}</author>
    <author>tc={43538D9F-9ED0-3B49-B455-7E043AA1CCE9}</author>
    <author>tc={C9B48D02-67D1-1542-8D81-3CD4751D8002}</author>
  </authors>
  <commentList>
    <comment ref="T39" authorId="0" shapeId="0" xr:uid="{B52F5203-53FE-2F4B-8D84-06714B10BF0C}">
      <text>
        <r>
          <rPr>
            <b/>
            <sz val="10"/>
            <color rgb="FF000000"/>
            <rFont val="Tahoma"/>
            <family val="2"/>
          </rPr>
          <t>Bill R Woolsey: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Orlando teams</t>
        </r>
      </text>
    </comment>
    <comment ref="W39" authorId="1" shapeId="0" xr:uid="{18FD6C3A-C458-4E47-A9F6-ED0D6BD2FAE5}">
      <text>
        <t>[Threaded comment]
Your version of Excel allows you to read this threaded comment; however, any edits to it will get removed if the file is opened in a newer version of Excel. Learn more: https://go.microsoft.com/fwlink/?linkid=870924
Comment:
    3 Decatur teams</t>
      </text>
    </comment>
    <comment ref="Y39" authorId="2" shapeId="0" xr:uid="{AA0EB3AA-79BA-7844-94B8-D2E514BA9E4D}">
      <text>
        <t>[Threaded comment]
Your version of Excel allows you to read this threaded comment; however, any edits to it will get removed if the file is opened in a newer version of Excel. Learn more: https://go.microsoft.com/fwlink/?linkid=870924
Comment:
    3 Albany teams</t>
      </text>
    </comment>
    <comment ref="Z39" authorId="3" shapeId="0" xr:uid="{43538D9F-9ED0-3B49-B455-7E043AA1CCE9}">
      <text>
        <t>[Threaded comment]
Your version of Excel allows you to read this threaded comment; however, any edits to it will get removed if the file is opened in a newer version of Excel. Learn more: https://go.microsoft.com/fwlink/?linkid=870924
Comment:
    Orlando Teams</t>
      </text>
    </comment>
    <comment ref="W40" authorId="4" shapeId="0" xr:uid="{C9B48D02-67D1-1542-8D81-3CD4751D8002}">
      <text>
        <t>[Threaded comment]
Your version of Excel allows you to read this threaded comment; however, any edits to it will get removed if the file is opened in a newer version of Excel. Learn more: https://go.microsoft.com/fwlink/?linkid=870924
Comment:
    NYC teams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tc={9D9A084C-A5CB-084E-952E-3BCAACC5D074}</author>
    <author>tc={58F68E8A-EF79-174D-9CDC-83B56D56E666}</author>
    <author>tc={8FD6F4B1-4AE3-E447-A9A6-79CE04A5DA01}</author>
    <author>tc={4DB3BC25-49ED-2247-BD5C-A6697B91F198}</author>
    <author>tc={37AE44A4-CC00-A447-9EFE-C349BF140B61}</author>
    <author>tc={B8651E03-037B-7B4E-936B-1E59A5272761}</author>
    <author>tc={90BE0B3A-F2D2-514B-BE01-977F5202AABD}</author>
    <author>tc={36D67311-9867-1C4E-999D-6666B4777510}</author>
    <author>tc={82F4EED8-6D1D-7F40-9B13-1F73D9934DB5}</author>
    <author>tc={9E5D4E6F-2717-B143-AB75-E40B22F257B9}</author>
    <author>tc={1FCF0583-6023-DE43-9AB0-41DFEA4DB13F}</author>
    <author>tc={BD6D884F-046F-9B4D-AF04-7812FCECA684}</author>
    <author>tc={37765969-6D96-364D-911E-05EFEFF16365}</author>
    <author>tc={6D7B5AB6-1D81-CF46-BC4F-43E210D427B2}</author>
    <author>tc={6DCB0A0D-576C-1049-85A4-DF8209B4B8A8}</author>
    <author>tc={0AB02F55-05F0-3649-BB63-0312C003FF89}</author>
    <author>tc={D902D41F-BE0C-E54F-B994-E197F9F38737}</author>
    <author>tc={CC5E0E2A-726A-4947-86C7-CCD27D1F7870}</author>
    <author>tc={42B7316F-6140-8647-835E-20AD76E6F0A8}</author>
    <author>tc={ABB99EBB-921B-0448-8238-36ED093490E6}</author>
    <author>tc={5CABCCD1-5D04-3D4C-98B2-749EBE0A94C6}</author>
    <author>tc={5FA5BA84-117B-9042-B180-1B4480BA43C2}</author>
    <author>tc={6C2C9DCB-5D31-7A40-84C9-45AE98C5C866}</author>
    <author>tc={9E58C2BF-31C9-5F42-88A3-0695748AF112}</author>
    <author>tc={52FF2AFB-BAEE-DA40-A006-B802016515F1}</author>
    <author>tc={C6BF1A9D-7369-EB43-A172-9534446665CC}</author>
    <author>tc={FA44F320-A6D1-6D49-8B8A-0733DC64872B}</author>
    <author>tc={E012D19D-54A6-0E45-AE84-A4CDC317C7FD}</author>
    <author>tc={27D8EF6A-11CE-044D-9A45-A336159316A2}</author>
    <author>tc={35CB9D60-177C-394E-941C-60DF55CBDF48}</author>
    <author>Mifflin Dove Jr.</author>
    <author>tc={E830C449-7B08-B64B-8CAF-A1038FE28157}</author>
    <author>Bill Woolsey</author>
    <author>tc={1C253DDA-57BC-7243-93EA-45AC016B183B}</author>
    <author>tc={5ECAC03F-51E2-604F-98DF-536A4909C7D3}</author>
    <author>tc={A027D674-4C09-F448-A0DB-437F41BEB30D}</author>
    <author>tc={9980BD8A-71A0-A34A-BFC4-49D16FECB38F}</author>
    <author>tc={5131D31F-579C-1B4C-B711-D1D233EC804C}</author>
    <author>tc={461B2219-09BD-D94E-8E4C-4929AE13008A}</author>
    <author>tc={34AC0C87-612B-6342-BA19-E60A0B0F1127}</author>
    <author>tc={F55F930D-FE10-F94E-9D0E-7E21F56580E0}</author>
    <author>tc={76941F64-3600-3B48-900A-136317CC5905}</author>
  </authors>
  <commentList>
    <comment ref="B9" authorId="0" shapeId="0" xr:uid="{9D9A084C-A5CB-084E-952E-3BCAACC5D074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</t>
      </text>
    </comment>
    <comment ref="G9" authorId="1" shapeId="0" xr:uid="{58F68E8A-EF79-174D-9CDC-83B56D56E666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8FD6F4B1-4AE3-E447-A9A6-79CE04A5DA01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4DB3BC25-49ED-2247-BD5C-A6697B91F198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37AE44A4-CC00-A447-9EFE-C349BF140B61}">
      <text>
        <t>[Threaded comment]
Your version of Excel allows you to read this threaded comment; however, any edits to it will get removed if the file is opened in a newer version of Excel. Learn more: https://go.microsoft.com/fwlink/?linkid=870924
Comment:
    Donor’s $15k
Normal
Reply:
    Donor gave this in Dec ‘19
Reply:
    Unsure of this.</t>
      </text>
    </comment>
    <comment ref="F10" authorId="5" shapeId="0" xr:uid="{B8651E03-037B-7B4E-936B-1E59A5272761}">
      <text>
        <t>[Threaded comment]
Your version of Excel allows you to read this threaded comment; however, any edits to it will get removed if the file is opened in a newer version of Excel. Learn more: https://go.microsoft.com/fwlink/?linkid=870924
Comment:
    Decatur donor - $15k</t>
      </text>
    </comment>
    <comment ref="H10" authorId="6" shapeId="0" xr:uid="{90BE0B3A-F2D2-514B-BE01-977F5202AABD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7" shapeId="0" xr:uid="{36D67311-9867-1C4E-999D-6666B4777510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8" shapeId="0" xr:uid="{82F4EED8-6D1D-7F40-9B13-1F73D9934DB5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9" shapeId="0" xr:uid="{9E5D4E6F-2717-B143-AB75-E40B22F257B9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0" shapeId="0" xr:uid="{1FCF0583-6023-DE43-9AB0-41DFEA4DB13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1" shapeId="0" xr:uid="{BD6D884F-046F-9B4D-AF04-7812FCECA68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B33" authorId="12" shapeId="0" xr:uid="{37765969-6D96-364D-911E-05EFEFF1636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Projected extra coaching sessions purchased by Advanced participants; assumes 20% of teams in Advanced are buying coaching, with 50% of those 1 packs and 50% 3 packs </t>
      </text>
    </comment>
    <comment ref="B34" authorId="13" shapeId="0" xr:uid="{6D7B5AB6-1D81-CF46-BC4F-43E210D427B2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25% of Advanced teams buy 3 assessments for their team members</t>
      </text>
    </comment>
    <comment ref="H41" authorId="14" shapeId="0" xr:uid="{6DCB0A0D-576C-1049-85A4-DF8209B4B8A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St. John Seward second payment </t>
      </text>
    </comment>
    <comment ref="B42" authorId="15" shapeId="0" xr:uid="{0AB02F55-05F0-3649-BB63-0312C003FF89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C53" authorId="16" shapeId="0" xr:uid="{D902D41F-BE0C-E54F-B994-E197F9F38737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Platform</t>
      </text>
    </comment>
    <comment ref="M53" authorId="17" shapeId="0" xr:uid="{CC5E0E2A-726A-4947-86C7-CCD27D1F7870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B58" authorId="18" shapeId="0" xr:uid="{42B7316F-6140-8647-835E-20AD76E6F0A8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$600/mo virtuous management</t>
      </text>
    </comment>
    <comment ref="C58" authorId="19" shapeId="0" xr:uid="{ABB99EBB-921B-0448-8238-36ED093490E6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management + donor acquisition landing page + email drip campaign for donor acquisition
Reply:
    First payment for Horseshoe Bay - $4300</t>
      </text>
    </comment>
    <comment ref="E58" authorId="20" shapeId="0" xr:uid="{5CABCCD1-5D04-3D4C-98B2-749EBE0A94C6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$4300</t>
      </text>
    </comment>
    <comment ref="H58" authorId="21" shapeId="0" xr:uid="{5FA5BA84-117B-9042-B180-1B4480BA43C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$4300</t>
      </text>
    </comment>
    <comment ref="I58" authorId="22" shapeId="0" xr:uid="{6C2C9DCB-5D31-7A40-84C9-45AE98C5C866}">
      <text>
        <t>[Threaded comment]
Your version of Excel allows you to read this threaded comment; however, any edits to it will get removed if the file is opened in a newer version of Excel. Learn more: https://go.microsoft.com/fwlink/?linkid=870924
Comment:
    $10,850 Horseshoe Bay payment
Reply:
    Fourth payment to Horseshoe Bay - $4300</t>
      </text>
    </comment>
    <comment ref="K58" authorId="23" shapeId="0" xr:uid="{9E58C2BF-31C9-5F42-88A3-0695748AF112}">
      <text>
        <t>[Threaded comment]
Your version of Excel allows you to read this threaded comment; however, any edits to it will get removed if the file is opened in a newer version of Excel. Learn more: https://go.microsoft.com/fwlink/?linkid=870924
Comment:
    Remainder of Horseshoe Bay
Reply:
    Fifth payment to Horseshoe Bay - $4300 plus final reconciliation, estimated to be $11,500</t>
      </text>
    </comment>
    <comment ref="L58" authorId="24" shapeId="0" xr:uid="{52FF2AFB-BAEE-DA40-A006-B802016515F1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5" shapeId="0" xr:uid="{C6BF1A9D-7369-EB43-A172-9534446665CC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K70" authorId="26" shapeId="0" xr:uid="{FA44F320-A6D1-6D49-8B8A-0733DC64872B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B71" authorId="27" shapeId="0" xr:uid="{E012D19D-54A6-0E45-AE84-A4CDC317C7FD}">
      <text>
        <t>[Threaded comment]
Your version of Excel allows you to read this threaded comment; however, any edits to it will get removed if the file is opened in a newer version of Excel. Learn more: https://go.microsoft.com/fwlink/?linkid=870924
Comment:
    Unsure on this - Abigail will look into</t>
      </text>
    </comment>
    <comment ref="L78" authorId="28" shapeId="0" xr:uid="{27D8EF6A-11CE-044D-9A45-A336159316A2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F84" authorId="29" shapeId="0" xr:uid="{35CB9D60-177C-394E-941C-60DF55CBDF48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AV ($4000), Tech Support ($1000) and Medical Staff ($500)</t>
      </text>
    </comment>
    <comment ref="P86" authorId="30" shapeId="0" xr:uid="{F55672A4-84E4-3541-8AEB-707B5F1716CF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G88" authorId="31" shapeId="0" xr:uid="{E830C449-7B08-B64B-8CAF-A1038FE28157}">
      <text>
        <t>[Threaded comment]
Your version of Excel allows you to read this threaded comment; however, any edits to it will get removed if the file is opened in a newer version of Excel. Learn more: https://go.microsoft.com/fwlink/?linkid=870924
Comment:
    FiveTwo Staff (5) travel and hotel</t>
      </text>
    </comment>
    <comment ref="A98" authorId="32" shapeId="0" xr:uid="{62CD34E0-C76D-5946-8F07-C2ADE19A9DD4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B99" authorId="33" shapeId="0" xr:uid="{1C253DDA-57BC-7243-93EA-45AC016B183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assessments for Advanced team leaders, 25% of Advanced teams purchase 3 assessments </t>
      </text>
    </comment>
    <comment ref="G99" authorId="34" shapeId="0" xr:uid="{5ECAC03F-51E2-604F-98DF-536A4909C7D3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B100" authorId="35" shapeId="0" xr:uid="{A027D674-4C09-F448-A0DB-437F41BEB30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all projected coaching - Advanced included session (12x$200 / mo), 20% of Advanced teams purchase additional coaching, and 50% of that 20% are 3 packs. </t>
      </text>
    </comment>
    <comment ref="I100" authorId="36" shapeId="0" xr:uid="{9980BD8A-71A0-A34A-BFC4-49D16FECB38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Additional $2000/mo for monthly coaching for 10 Accelerator teams </t>
      </text>
    </comment>
    <comment ref="K100" authorId="37" shapeId="0" xr:uid="{5131D31F-579C-1B4C-B711-D1D233EC804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Additional $2000/mo for monthly coaching for 10 Accelerator teams </t>
      </text>
    </comment>
    <comment ref="F104" authorId="38" shapeId="0" xr:uid="{461B2219-09BD-D94E-8E4C-4929AE13008A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H108" authorId="39" shapeId="0" xr:uid="{34AC0C87-612B-6342-BA19-E60A0B0F1127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K117" authorId="40" shapeId="0" xr:uid="{F55F930D-FE10-F94E-9D0E-7E21F56580E0}">
      <text>
        <t>[Threaded comment]
Your version of Excel allows you to read this threaded comment; however, any edits to it will get removed if the file is opened in a newer version of Excel. Learn more: https://go.microsoft.com/fwlink/?linkid=870924
Comment:
    forecasted at $10,450</t>
      </text>
    </comment>
    <comment ref="A147" authorId="30" shapeId="0" xr:uid="{0AEEC89E-9BC0-834A-95A4-5D8E2D10FE23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  <comment ref="B147" authorId="41" shapeId="0" xr:uid="{76941F64-3600-3B48-900A-136317CC5905}">
      <text>
        <t>[Threaded comment]
Your version of Excel allows you to read this threaded comment; however, any edits to it will get removed if the file is opened in a newer version of Excel. Learn more: https://go.microsoft.com/fwlink/?linkid=870924
Comment:
    Anticipated to start year with $519,869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tc={80C32879-55E8-194A-98FD-5D6922018583}</author>
    <author>tc={E1C8DE14-8DE5-6245-81B6-6974C4995FB3}</author>
    <author>tc={1FA88DDE-B296-8543-ABA6-BE4E7EADE72A}</author>
    <author>tc={E52362EA-F84D-044A-AF11-295C42B49C08}</author>
    <author>tc={6D4877F0-0CD8-E441-BE5A-74061247D5C7}</author>
    <author>tc={5BB9DAAB-1BE8-A548-95DC-AAF6EF30DC98}</author>
    <author>tc={F88269D9-8178-0D45-A1EF-CA9A7300489E}</author>
    <author>tc={E1CD4143-D276-E04E-8B59-D82970CF35DD}</author>
    <author>tc={9011292E-8E26-8A40-8E8F-ECC613A3CCF8}</author>
    <author>tc={DA9A449E-304E-6740-BDCA-2E0D1EBF5F06}</author>
    <author>tc={59E619B6-93D7-4741-A8A7-10BDF0E36C98}</author>
    <author>tc={BE132CEA-88CF-2B43-99B3-8A8C4EE56B13}</author>
    <author>tc={BFBA7EFB-F6F5-1A49-8158-A55E4128215B}</author>
    <author>tc={16F5F49F-1634-1F4F-A80A-792729700583}</author>
    <author>tc={19D36E8B-8B2B-8A49-BD10-9446431A334F}</author>
    <author>tc={10D1B258-CD25-9646-9224-AA03A35E65F6}</author>
    <author>tc={26A944BE-0188-2843-AF31-ED07C0EBDBA5}</author>
    <author>tc={082B8717-8306-B14C-BE51-D96A262131DB}</author>
    <author>tc={2B1AF904-407E-A044-BB5D-05A671205E6A}</author>
    <author>tc={8E95F37E-2F60-FC41-9236-9B8A813ACBA0}</author>
    <author>tc={F7413DFC-FD1E-F043-9EB5-FC0C7C08109A}</author>
    <author>tc={81884336-A65D-244A-B0B5-3DDA3CEECB0D}</author>
    <author>tc={1AED05A2-1A1F-F340-82AE-01DBE1C23B54}</author>
    <author>tc={E99BE9B4-CDCA-F34A-BB1C-0C9230B88A8B}</author>
    <author>tc={7DFF41BA-E8F4-4E40-95C2-1AB88C3692BB}</author>
    <author>tc={67D52C4A-B3BD-A644-ADE8-F84B6D626807}</author>
    <author>tc={69E4D199-58EC-874E-8FE9-1A0627E2DCFC}</author>
    <author>tc={5DFA5C05-FAE6-0542-BD41-E67AE4648A14}</author>
    <author>tc={2667A3F5-26C7-8743-AE2D-04E1C5E39D00}</author>
    <author>tc={77BA51B3-181B-9C43-ACCC-1508E34B7827}</author>
    <author>Mifflin Dove Jr.</author>
    <author>tc={047BA829-D6F4-4F4C-8EFC-C084977A955D}</author>
    <author>Bill Woolsey</author>
    <author>tc={12DF7E14-4F50-D64D-892A-C3E4D5DAE94B}</author>
    <author>tc={97DD6B3B-5EBB-D448-9E06-0F36A44163DE}</author>
    <author>tc={0D3BB3A9-B7B2-0E47-9D5C-19D4EB20A643}</author>
    <author>tc={57DBCB69-D54E-C84F-8A71-10E61AF7E054}</author>
    <author>tc={AF94A615-82D1-5644-83E3-DF78B31782C1}</author>
    <author>tc={18AFB9B0-8374-8745-8499-757F051BD6B8}</author>
    <author>tc={C7E074C2-7564-9A42-A8CB-F886156A7AF1}</author>
    <author>tc={E3EE37F0-84AD-1F48-A6DC-D6A1902FBC6C}</author>
  </authors>
  <commentList>
    <comment ref="B9" authorId="0" shapeId="0" xr:uid="{80C32879-55E8-194A-98FD-5D6922018583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</t>
      </text>
    </comment>
    <comment ref="G9" authorId="1" shapeId="0" xr:uid="{E1C8DE14-8DE5-6245-81B6-6974C4995FB3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1FA88DDE-B296-8543-ABA6-BE4E7EADE72A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E52362EA-F84D-044A-AF11-295C42B49C08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6D4877F0-0CD8-E441-BE5A-74061247D5C7}">
      <text>
        <t>[Threaded comment]
Your version of Excel allows you to read this threaded comment; however, any edits to it will get removed if the file is opened in a newer version of Excel. Learn more: https://go.microsoft.com/fwlink/?linkid=870924
Comment:
    Donor’s $15k
Normal
Reply:
    Donor gave this in Dec ‘19
Reply:
    Unsure of this.</t>
      </text>
    </comment>
    <comment ref="I10" authorId="5" shapeId="0" xr:uid="{5BB9DAAB-1BE8-A548-95DC-AAF6EF30DC98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6" shapeId="0" xr:uid="{F88269D9-8178-0D45-A1EF-CA9A7300489E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7" shapeId="0" xr:uid="{E1CD4143-D276-E04E-8B59-D82970CF35DD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8" shapeId="0" xr:uid="{9011292E-8E26-8A40-8E8F-ECC613A3CCF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9" shapeId="0" xr:uid="{DA9A449E-304E-6740-BDCA-2E0D1EBF5F0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B33" authorId="10" shapeId="0" xr:uid="{59E619B6-93D7-4741-A8A7-10BDF0E36C9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Projected extra coaching sessions purchased by Advanced participants; assumes 20% of teams in Advanced are buying coaching, with 50% of those 1 packs and 50% 3 packs </t>
      </text>
    </comment>
    <comment ref="B34" authorId="11" shapeId="0" xr:uid="{BE132CEA-88CF-2B43-99B3-8A8C4EE56B13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25% of Advanced teams buy 3 assessments for their team members</t>
      </text>
    </comment>
    <comment ref="B36" authorId="12" shapeId="0" xr:uid="{BFBA7EFB-F6F5-1A49-8158-A55E4128215B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12 teams monthly in 2 cohorts</t>
      </text>
    </comment>
    <comment ref="G41" authorId="13" shapeId="0" xr:uid="{16F5F49F-1634-1F4F-A80A-792729700583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second payment</t>
      </text>
    </comment>
    <comment ref="J41" authorId="14" shapeId="0" xr:uid="{19D36E8B-8B2B-8A49-BD10-9446431A334F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third
 payment</t>
      </text>
    </comment>
    <comment ref="M41" authorId="15" shapeId="0" xr:uid="{10D1B258-CD25-9646-9224-AA03A35E65F6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final payment</t>
      </text>
    </comment>
    <comment ref="B42" authorId="16" shapeId="0" xr:uid="{26A944BE-0188-2843-AF31-ED07C0EBDBA5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C53" authorId="17" shapeId="0" xr:uid="{082B8717-8306-B14C-BE51-D96A262131DB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Platform</t>
      </text>
    </comment>
    <comment ref="M53" authorId="18" shapeId="0" xr:uid="{2B1AF904-407E-A044-BB5D-05A671205E6A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C58" authorId="19" shapeId="0" xr:uid="{8E95F37E-2F60-FC41-9236-9B8A813ACBA0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0" shapeId="0" xr:uid="{F7413DFC-FD1E-F043-9EB5-FC0C7C08109A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1" shapeId="0" xr:uid="{81884336-A65D-244A-B0B5-3DDA3CEECB0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2" shapeId="0" xr:uid="{1AED05A2-1A1F-F340-82AE-01DBE1C23B54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3" shapeId="0" xr:uid="{E99BE9B4-CDCA-F34A-BB1C-0C9230B88A8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4" shapeId="0" xr:uid="{7DFF41BA-E8F4-4E40-95C2-1AB88C3692BB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5" shapeId="0" xr:uid="{67D52C4A-B3BD-A644-ADE8-F84B6D626807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6" shapeId="0" xr:uid="{69E4D199-58EC-874E-8FE9-1A0627E2DCFC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K68" authorId="27" shapeId="0" xr:uid="{5DFA5C05-FAE6-0542-BD41-E67AE4648A14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L73" authorId="28" shapeId="0" xr:uid="{2667A3F5-26C7-8743-AE2D-04E1C5E39D00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F78" authorId="29" shapeId="0" xr:uid="{77BA51B3-181B-9C43-ACCC-1508E34B782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AV ($4000), Tech Support ($1000) and Medical Staff ($500)</t>
      </text>
    </comment>
    <comment ref="P80" authorId="30" shapeId="0" xr:uid="{F46C4734-7971-D240-B0A0-AFD7FFD94D8F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G82" authorId="31" shapeId="0" xr:uid="{047BA829-D6F4-4F4C-8EFC-C084977A955D}">
      <text>
        <t>[Threaded comment]
Your version of Excel allows you to read this threaded comment; however, any edits to it will get removed if the file is opened in a newer version of Excel. Learn more: https://go.microsoft.com/fwlink/?linkid=870924
Comment:
    FiveTwo Staff (5) travel and hotel</t>
      </text>
    </comment>
    <comment ref="A92" authorId="32" shapeId="0" xr:uid="{E79CA450-F1E4-664E-8DFC-BEC2C951F72A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B93" authorId="33" shapeId="0" xr:uid="{12DF7E14-4F50-D64D-892A-C3E4D5DAE94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assessments for Advanced team leaders, 25% of Advanced teams purchase 3 assessments </t>
      </text>
    </comment>
    <comment ref="G93" authorId="34" shapeId="0" xr:uid="{97DD6B3B-5EBB-D448-9E06-0F36A44163DE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B94" authorId="35" shapeId="0" xr:uid="{0D3BB3A9-B7B2-0E47-9D5C-19D4EB20A64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all projected coaching - Advanced included session (12x$200 / mo), 20% of Advanced teams purchase additional coaching, and 50% of that 20% are 3 packs. </t>
      </text>
    </comment>
    <comment ref="I94" authorId="36" shapeId="0" xr:uid="{57DBCB69-D54E-C84F-8A71-10E61AF7E05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Additional $2000/mo for monthly coaching for 10 Accelerator teams </t>
      </text>
    </comment>
    <comment ref="K94" authorId="37" shapeId="0" xr:uid="{AF94A615-82D1-5644-83E3-DF78B31782C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Additional $2000/mo for monthly coaching for 10 Accelerator teams </t>
      </text>
    </comment>
    <comment ref="F97" authorId="38" shapeId="0" xr:uid="{18AFB9B0-8374-8745-8499-757F051BD6B8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H99" authorId="39" shapeId="0" xr:uid="{C7E074C2-7564-9A42-A8CB-F886156A7AF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K108" authorId="40" shapeId="0" xr:uid="{E3EE37F0-84AD-1F48-A6DC-D6A1902FBC6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forecasted at $10,450</t>
      </text>
    </comment>
    <comment ref="A137" authorId="30" shapeId="0" xr:uid="{1BE3853B-4950-6C48-8796-2601BD112FED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tc={690F9BBB-479D-5A49-8738-98008AB0008B}</author>
    <author>tc={886A300E-F8D5-7646-935E-D7A6F7C13D09}</author>
    <author>tc={CA3BFEE4-573E-AC47-89D6-28E81D9E8712}</author>
    <author>tc={FC38FFB9-52C4-5C41-8D01-9736ACD1F89F}</author>
    <author>tc={3170FDAA-A058-0445-83D4-E8C36BA7B766}</author>
    <author>tc={53110E66-4008-D54E-86C4-13382413E01C}</author>
    <author>tc={9D08C0BC-1CAB-6C48-B6EB-BA33E0DEC233}</author>
    <author>tc={51D43946-B194-3740-9C30-D31F80DB7ABB}</author>
    <author>tc={460B0B54-30F9-EA4C-ABEF-C1F5A9636B75}</author>
    <author>tc={CEA1A9E1-5EAF-4C4A-B3C0-E7C235DD256A}</author>
    <author>tc={72FDCD6F-ADCE-2E41-B452-F44A05480954}</author>
    <author>tc={25BB9709-FBAE-B941-A934-A4095E808D46}</author>
    <author>tc={9D6751B4-722C-A448-8127-5754583EDDA2}</author>
    <author>tc={7D8851C2-9CFD-BD42-AD7F-E4A5E7DDB182}</author>
    <author>tc={D9A56B78-98EF-834A-8DB6-1FE5D3E138FF}</author>
    <author>tc={0B95FE29-C65C-134A-84F7-7051ED69CFD6}</author>
    <author>tc={D595E9B0-6B9B-3747-85A8-4108F7CECFF0}</author>
    <author>tc={1D690F0E-5C25-0347-902B-5B5BB731A641}</author>
    <author>tc={57B2F74D-874F-DF45-ABEF-B19B53EB59BB}</author>
    <author>tc={9C979B48-F5F7-0749-ADBC-BD221C30B96C}</author>
    <author>tc={B8FB8D50-73D0-C145-8CFB-60EC414DBC72}</author>
    <author>tc={0EF95685-DB65-9744-9652-B1600D80203F}</author>
    <author>tc={F5D35637-55A1-A444-9602-9C08A4236B59}</author>
    <author>tc={EEC97C52-9C6C-2145-9798-9E97A682C382}</author>
    <author>tc={636DFF28-4C8D-E241-963C-205BA8457C5C}</author>
    <author>tc={A577802B-73FA-1F47-82F2-797433658004}</author>
    <author>tc={0BDD51F5-377D-AD4C-8C84-4CFF3BB3F80F}</author>
    <author>tc={32E1D789-79F0-E04F-95AD-5316684864BE}</author>
    <author>tc={85CD6969-BAE7-D748-B023-9F23F7E58511}</author>
    <author>tc={E25515A1-5DA2-604E-B557-3E4768A732CD}</author>
    <author>tc={910469B0-A335-A64C-A3A2-3C9A0C361E7F}</author>
    <author>tc={F7E75FDB-A62C-214C-875E-CC2598E2635A}</author>
    <author>tc={A85CE770-3F9D-774D-AF11-2278D41BDB8A}</author>
    <author>tc={23A0EBB6-4DB2-4140-A7E4-7E3C5212E35A}</author>
    <author>Mifflin Dove Jr.</author>
    <author>tc={52A69584-274B-6F46-A77D-46CF03D58C59}</author>
    <author>Bill Woolsey</author>
    <author>tc={B2195D14-6414-B048-815B-3E067F9CB120}</author>
    <author>tc={83D53DE1-4777-194C-ADD4-6D8BE6EBF411}</author>
    <author>tc={25FBC75D-8BDB-8340-8AED-490A6E33CECF}</author>
    <author>tc={A8072C12-C86C-5842-93F1-DBE727008748}</author>
    <author>tc={216480EB-B3C8-5D40-8A7A-7DDBFC4F2B3B}</author>
    <author>tc={EEE826A4-DF90-854F-AA1B-7A9648A9D43B}</author>
    <author>tc={B9BC88DA-3EC2-5147-8FAE-AFE268F64418}</author>
    <author>tc={12711808-F62D-2D45-AF39-EFA331C2DC1E}</author>
  </authors>
  <commentList>
    <comment ref="B9" authorId="0" shapeId="0" xr:uid="{690F9BBB-479D-5A49-8738-98008AB0008B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</t>
      </text>
    </comment>
    <comment ref="C9" authorId="1" shapeId="0" xr:uid="{886A300E-F8D5-7646-935E-D7A6F7C13D09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$2500+$2500
Bethany $1250
Trinity $5000
Reply:
    No Summit; Trinity in Jan.</t>
      </text>
    </comment>
    <comment ref="D9" authorId="2" shapeId="0" xr:uid="{CA3BFEE4-573E-AC47-89D6-28E81D9E8712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$2500
Reply:
    Summit - 1250</t>
      </text>
    </comment>
    <comment ref="F9" authorId="3" shapeId="0" xr:uid="{FC38FFB9-52C4-5C41-8D01-9736ACD1F89F}">
      <text>
        <t>[Threaded comment]
Your version of Excel allows you to read this threaded comment; however, any edits to it will get removed if the file is opened in a newer version of Excel. Learn more: https://go.microsoft.com/fwlink/?linkid=870924
Comment:
    Bethany 
St. Paul - Trenton - min. $2k</t>
      </text>
    </comment>
    <comment ref="G9" authorId="4" shapeId="0" xr:uid="{3170FDAA-A058-0445-83D4-E8C36BA7B766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5" shapeId="0" xr:uid="{53110E66-4008-D54E-86C4-13382413E01C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6" shapeId="0" xr:uid="{9D08C0BC-1CAB-6C48-B6EB-BA33E0DEC23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Summit $2.5k
Reply:
    Summit 1250 and assumed additional $2500
</t>
      </text>
    </comment>
    <comment ref="B10" authorId="7" shapeId="0" xr:uid="{51D43946-B194-3740-9C30-D31F80DB7ABB}">
      <text>
        <t>[Threaded comment]
Your version of Excel allows you to read this threaded comment; however, any edits to it will get removed if the file is opened in a newer version of Excel. Learn more: https://go.microsoft.com/fwlink/?linkid=870924
Comment:
    Donor’s $15k
Normal
Reply:
    Donor gave this in Dec ‘19
Reply:
    Unsure of this.</t>
      </text>
    </comment>
    <comment ref="F10" authorId="8" shapeId="0" xr:uid="{460B0B54-30F9-EA4C-ABEF-C1F5A9636B75}">
      <text>
        <t>[Threaded comment]
Your version of Excel allows you to read this threaded comment; however, any edits to it will get removed if the file is opened in a newer version of Excel. Learn more: https://go.microsoft.com/fwlink/?linkid=870924
Comment:
    Decatur donor - $15k</t>
      </text>
    </comment>
    <comment ref="H10" authorId="9" shapeId="0" xr:uid="{CEA1A9E1-5EAF-4C4A-B3C0-E7C235DD256A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10" shapeId="0" xr:uid="{72FDCD6F-ADCE-2E41-B452-F44A05480954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11" shapeId="0" xr:uid="{25BB9709-FBAE-B941-A934-A4095E808D46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12" shapeId="0" xr:uid="{9D6751B4-722C-A448-8127-5754583EDDA2}">
      <text>
        <t>[Threaded comment]
Your version of Excel allows you to read this threaded comment; however, any edits to it will get removed if the file is opened in a newer version of Excel. Learn more: https://go.microsoft.com/fwlink/?linkid=870924
Comment:
    $16k year end
Reply:
    2019 real number was $34,570
Reply:
    Deleted Cook $20k gift; moved to Aug and made it $30k</t>
      </text>
    </comment>
    <comment ref="A13" authorId="13" shapeId="0" xr:uid="{7D8851C2-9CFD-BD42-AD7F-E4A5E7DDB18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4" shapeId="0" xr:uid="{D9A56B78-98EF-834A-8DB6-1FE5D3E138F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B33" authorId="15" shapeId="0" xr:uid="{0B95FE29-C65C-134A-84F7-7051ED69CFD6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extra coaching sessions purchased by Advanced participants</t>
      </text>
    </comment>
    <comment ref="G41" authorId="16" shapeId="0" xr:uid="{D595E9B0-6B9B-3747-85A8-4108F7CECFF0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second payment</t>
      </text>
    </comment>
    <comment ref="J41" authorId="17" shapeId="0" xr:uid="{1D690F0E-5C25-0347-902B-5B5BB731A641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third
 payment</t>
      </text>
    </comment>
    <comment ref="M41" authorId="18" shapeId="0" xr:uid="{57B2F74D-874F-DF45-ABEF-B19B53EB59BB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final payment</t>
      </text>
    </comment>
    <comment ref="B42" authorId="19" shapeId="0" xr:uid="{9C979B48-F5F7-0749-ADBC-BD221C30B96C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C53" authorId="20" shapeId="0" xr:uid="{B8FB8D50-73D0-C145-8CFB-60EC414DBC72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Platform</t>
      </text>
    </comment>
    <comment ref="M53" authorId="21" shapeId="0" xr:uid="{0EF95685-DB65-9744-9652-B1600D80203F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C58" authorId="22" shapeId="0" xr:uid="{F5D35637-55A1-A444-9602-9C08A4236B59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3" shapeId="0" xr:uid="{EEC97C52-9C6C-2145-9798-9E97A682C382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4" shapeId="0" xr:uid="{636DFF28-4C8D-E241-963C-205BA8457C5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5" shapeId="0" xr:uid="{A577802B-73FA-1F47-82F2-797433658004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6" shapeId="0" xr:uid="{0BDD51F5-377D-AD4C-8C84-4CFF3BB3F80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7" shapeId="0" xr:uid="{32E1D789-79F0-E04F-95AD-5316684864BE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8" shapeId="0" xr:uid="{85CD6969-BAE7-D748-B023-9F23F7E58511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9" shapeId="0" xr:uid="{E25515A1-5DA2-604E-B557-3E4768A732CD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K70" authorId="30" shapeId="0" xr:uid="{910469B0-A335-A64C-A3A2-3C9A0C361E7F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B71" authorId="31" shapeId="0" xr:uid="{F7E75FDB-A62C-214C-875E-CC2598E2635A}">
      <text>
        <t>[Threaded comment]
Your version of Excel allows you to read this threaded comment; however, any edits to it will get removed if the file is opened in a newer version of Excel. Learn more: https://go.microsoft.com/fwlink/?linkid=870924
Comment:
    Unsure on this - Abigail will look into</t>
      </text>
    </comment>
    <comment ref="L78" authorId="32" shapeId="0" xr:uid="{A85CE770-3F9D-774D-AF11-2278D41BDB8A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F84" authorId="33" shapeId="0" xr:uid="{23A0EBB6-4DB2-4140-A7E4-7E3C5212E35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AV ($4000), Tech Support ($1000) and Medical Staff ($500)</t>
      </text>
    </comment>
    <comment ref="P86" authorId="34" shapeId="0" xr:uid="{3D795D01-70B9-8F47-9F91-7CD291455483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G88" authorId="35" shapeId="0" xr:uid="{52A69584-274B-6F46-A77D-46CF03D58C59}">
      <text>
        <t>[Threaded comment]
Your version of Excel allows you to read this threaded comment; however, any edits to it will get removed if the file is opened in a newer version of Excel. Learn more: https://go.microsoft.com/fwlink/?linkid=870924
Comment:
    FiveTwo Staff (5) travel and hotel</t>
      </text>
    </comment>
    <comment ref="A98" authorId="36" shapeId="0" xr:uid="{1A534107-2F4F-3643-8C33-46CEC089A658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B99" authorId="37" shapeId="0" xr:uid="{B2195D14-6414-B048-815B-3E067F9CB12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assessments for Advanced team leaders, 25% of Advanced teams purchase 3 assessments </t>
      </text>
    </comment>
    <comment ref="G99" authorId="38" shapeId="0" xr:uid="{83D53DE1-4777-194C-ADD4-6D8BE6EBF41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B100" authorId="39" shapeId="0" xr:uid="{25FBC75D-8BDB-8340-8AED-490A6E33CEC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all projected coaching - Advanced included session, 20% of Advanced teams purchase additional coaching, and 50% of that 20% are 3 packs. </t>
      </text>
    </comment>
    <comment ref="I100" authorId="40" shapeId="0" xr:uid="{A8072C12-C86C-5842-93F1-DBE727008748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Additional $2000 per month for Accelerator teams (10 teams, one coaching per month)</t>
      </text>
    </comment>
    <comment ref="K100" authorId="41" shapeId="0" xr:uid="{216480EB-B3C8-5D40-8A7A-7DDBFC4F2B3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Additional $2000 per month for Accelerator teams (10 teams, one coaching per month)
</t>
      </text>
    </comment>
    <comment ref="F104" authorId="42" shapeId="0" xr:uid="{EEE826A4-DF90-854F-AA1B-7A9648A9D43B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H108" authorId="43" shapeId="0" xr:uid="{B9BC88DA-3EC2-5147-8FAE-AFE268F64418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47" authorId="34" shapeId="0" xr:uid="{D35AFFB8-412A-5049-8FCB-757B8C00BF2C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  <comment ref="B147" authorId="44" shapeId="0" xr:uid="{12711808-F62D-2D45-AF39-EFA331C2DC1E}">
      <text>
        <t>[Threaded comment]
Your version of Excel allows you to read this threaded comment; however, any edits to it will get removed if the file is opened in a newer version of Excel. Learn more: https://go.microsoft.com/fwlink/?linkid=870924
Comment:
    Anticipated to start year with $519,869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tc={B3B49683-C72C-D94A-81DB-427317A89FC3}</author>
    <author>tc={B320ECA5-09F7-F14B-A5A0-CFD83A93E29D}</author>
    <author>tc={862258CF-1406-F246-B5D7-79EB2F8D994E}</author>
    <author>tc={C4884E96-4E43-D340-A9D3-B9B745D6AA67}</author>
    <author>tc={E9AC9E1A-8FA3-DF4A-BB73-1A5CB82C3318}</author>
    <author>tc={B8B8F9DE-E511-5847-8595-27288D3FC4B7}</author>
    <author>tc={971EC95B-254B-3C46-AAEA-41EF67FA976E}</author>
    <author>tc={D84E0AB8-FAEA-A743-B635-03D1DC44BAE2}</author>
    <author>tc={BFBED35F-4325-CF4F-9AC4-FA2B27F30DAD}</author>
    <author>tc={884F2228-1287-BE47-ABE8-AEC9822A0687}</author>
    <author>tc={68876F3E-FA52-3245-88AB-2DB4F24E9F52}</author>
    <author>tc={515ED5F9-55EE-664D-A3CA-A884795B07B0}</author>
    <author>tc={45C4F6F5-A690-4A47-9E42-D07E54B5661E}</author>
    <author>tc={52F62ACE-EF58-A44E-B1B1-0D61B9B2C014}</author>
    <author>tc={176FCD16-0F3A-9443-BE24-7C64D6CA11AD}</author>
    <author>tc={E5FB8DBB-74DB-CB4A-B92C-AA3B3BC2AE0B}</author>
    <author>tc={D3FC3F31-5C56-9744-981E-44E7DF9582B2}</author>
    <author>tc={393FC323-3856-3245-BF4E-F0B583173EBC}</author>
    <author>tc={B064E228-A212-AA4E-AF7B-CA422327A74D}</author>
    <author>tc={20B60264-4290-A144-BB66-7210ABD38CE9}</author>
    <author>tc={B7537B00-AA55-3A4D-AD51-40F6E6426CD1}</author>
    <author>tc={81F8A3CF-48ED-914E-ADA9-2D46C288E4DB}</author>
    <author>tc={D33A36D6-F971-D243-9B8D-1969B53BF741}</author>
    <author>tc={3F3B28F4-DBCC-604D-9005-28BA7D5BF239}</author>
    <author>tc={B40CC6D4-8347-EA4D-A856-E9A9F8139982}</author>
    <author>tc={50878536-4CFE-864B-9C90-FA71B37B2404}</author>
    <author>tc={4B2F5E9E-5531-B341-A372-6ED3A8DD1D34}</author>
    <author>tc={D5D6BB4E-26D9-F342-BA1E-650292040827}</author>
    <author>tc={A520408F-E621-5348-85E4-854E5F7E6E33}</author>
    <author>tc={824B017D-14CB-2649-95DC-B1D925447EE6}</author>
    <author>tc={0E9B3EFA-9FA3-5347-86C1-539ECE597D16}</author>
    <author>Mifflin Dove Jr.</author>
    <author>tc={D10193A0-7F98-AC4E-ABF5-9D0859053BD7}</author>
    <author>Bill Woolsey</author>
    <author>tc={85B7ED2C-E700-BA4C-95AB-E3D333D88BE6}</author>
    <author>tc={5E0D7590-AF8F-4249-A61E-A2595CC53AAD}</author>
    <author>tc={AB77B28C-8E98-FE47-B06F-DDE18CFFE4C5}</author>
    <author>tc={7C228721-145B-7543-AA36-6EE501945D39}</author>
    <author>tc={743BB231-70EB-A44B-B3F7-4CA79DFDD41D}</author>
    <author>tc={FED19CAC-4A97-044D-B60B-2BF426F5F08B}</author>
  </authors>
  <commentList>
    <comment ref="B9" authorId="0" shapeId="0" xr:uid="{B3B49683-C72C-D94A-81DB-427317A89FC3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</t>
      </text>
    </comment>
    <comment ref="G9" authorId="1" shapeId="0" xr:uid="{B320ECA5-09F7-F14B-A5A0-CFD83A93E29D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862258CF-1406-F246-B5D7-79EB2F8D994E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C4884E96-4E43-D340-A9D3-B9B745D6AA67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E9AC9E1A-8FA3-DF4A-BB73-1A5CB82C3318}">
      <text>
        <t>[Threaded comment]
Your version of Excel allows you to read this threaded comment; however, any edits to it will get removed if the file is opened in a newer version of Excel. Learn more: https://go.microsoft.com/fwlink/?linkid=870924
Comment:
    Donor’s $15k
Normal
Reply:
    Donor gave this in Dec ‘19
Reply:
    Unsure of this.</t>
      </text>
    </comment>
    <comment ref="F10" authorId="5" shapeId="0" xr:uid="{B8B8F9DE-E511-5847-8595-27288D3FC4B7}">
      <text>
        <t>[Threaded comment]
Your version of Excel allows you to read this threaded comment; however, any edits to it will get removed if the file is opened in a newer version of Excel. Learn more: https://go.microsoft.com/fwlink/?linkid=870924
Comment:
    Decatur donor - $15k</t>
      </text>
    </comment>
    <comment ref="H10" authorId="6" shapeId="0" xr:uid="{971EC95B-254B-3C46-AAEA-41EF67FA976E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7" shapeId="0" xr:uid="{D84E0AB8-FAEA-A743-B635-03D1DC44BAE2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8" shapeId="0" xr:uid="{BFBED35F-4325-CF4F-9AC4-FA2B27F30DAD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9" shapeId="0" xr:uid="{884F2228-1287-BE47-ABE8-AEC9822A0687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0" shapeId="0" xr:uid="{68876F3E-FA52-3245-88AB-2DB4F24E9F5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1" shapeId="0" xr:uid="{515ED5F9-55EE-664D-A3CA-A884795B07B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B33" authorId="12" shapeId="0" xr:uid="{45C4F6F5-A690-4A47-9E42-D07E54B5661E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extra coaching sessions purchased by Advanced participants</t>
      </text>
    </comment>
    <comment ref="B36" authorId="13" shapeId="0" xr:uid="{52F62ACE-EF58-A44E-B1B1-0D61B9B2C014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6 new teams per month in 2 cohorts</t>
      </text>
    </comment>
    <comment ref="G41" authorId="14" shapeId="0" xr:uid="{176FCD16-0F3A-9443-BE24-7C64D6CA11AD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second payment</t>
      </text>
    </comment>
    <comment ref="J41" authorId="15" shapeId="0" xr:uid="{E5FB8DBB-74DB-CB4A-B92C-AA3B3BC2AE0B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third
 payment</t>
      </text>
    </comment>
    <comment ref="M41" authorId="16" shapeId="0" xr:uid="{D3FC3F31-5C56-9744-981E-44E7DF9582B2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final payment</t>
      </text>
    </comment>
    <comment ref="B42" authorId="17" shapeId="0" xr:uid="{393FC323-3856-3245-BF4E-F0B583173EBC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C53" authorId="18" shapeId="0" xr:uid="{B064E228-A212-AA4E-AF7B-CA422327A74D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Platform</t>
      </text>
    </comment>
    <comment ref="M53" authorId="19" shapeId="0" xr:uid="{20B60264-4290-A144-BB66-7210ABD38CE9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C58" authorId="20" shapeId="0" xr:uid="{B7537B00-AA55-3A4D-AD51-40F6E6426CD1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1" shapeId="0" xr:uid="{81F8A3CF-48ED-914E-ADA9-2D46C288E4DB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2" shapeId="0" xr:uid="{D33A36D6-F971-D243-9B8D-1969B53BF74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3" shapeId="0" xr:uid="{3F3B28F4-DBCC-604D-9005-28BA7D5BF239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4" shapeId="0" xr:uid="{B40CC6D4-8347-EA4D-A856-E9A9F813998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5" shapeId="0" xr:uid="{50878536-4CFE-864B-9C90-FA71B37B2404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6" shapeId="0" xr:uid="{4B2F5E9E-5531-B341-A372-6ED3A8DD1D34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7" shapeId="0" xr:uid="{D5D6BB4E-26D9-F342-BA1E-650292040827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K68" authorId="28" shapeId="0" xr:uid="{A520408F-E621-5348-85E4-854E5F7E6E33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L73" authorId="29" shapeId="0" xr:uid="{824B017D-14CB-2649-95DC-B1D925447EE6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F78" authorId="30" shapeId="0" xr:uid="{0E9B3EFA-9FA3-5347-86C1-539ECE597D1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AV ($4000), Tech Support ($1000) and Medical Staff ($500)</t>
      </text>
    </comment>
    <comment ref="P80" authorId="31" shapeId="0" xr:uid="{457794A2-291F-6B41-BDF5-93EF90F6D0BD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G82" authorId="32" shapeId="0" xr:uid="{D10193A0-7F98-AC4E-ABF5-9D0859053BD7}">
      <text>
        <t>[Threaded comment]
Your version of Excel allows you to read this threaded comment; however, any edits to it will get removed if the file is opened in a newer version of Excel. Learn more: https://go.microsoft.com/fwlink/?linkid=870924
Comment:
    FiveTwo Staff (5) travel and hotel</t>
      </text>
    </comment>
    <comment ref="A92" authorId="33" shapeId="0" xr:uid="{F5DD728D-D5CB-C841-8A4E-BE29F01ABDE8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B93" authorId="34" shapeId="0" xr:uid="{85B7ED2C-E700-BA4C-95AB-E3D333D88BE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assessments for Advanced team leaders, 25% of Advanced teams purchase 3 assessments </t>
      </text>
    </comment>
    <comment ref="G93" authorId="35" shapeId="0" xr:uid="{5E0D7590-AF8F-4249-A61E-A2595CC53AAD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B94" authorId="36" shapeId="0" xr:uid="{AB77B28C-8E98-FE47-B06F-DDE18CFFE4C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all projected coaching - Advanced included session, 20% of Advanced teams purchase additional coaching, and 50% of that 20% are 3 packs. </t>
      </text>
    </comment>
    <comment ref="K94" authorId="37" shapeId="0" xr:uid="{7C228721-145B-7543-AA36-6EE501945D3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Additional $2000 per month for Accelerator teams (10 teams, one coaching per month)
</t>
      </text>
    </comment>
    <comment ref="F97" authorId="38" shapeId="0" xr:uid="{743BB231-70EB-A44B-B3F7-4CA79DFDD41D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K99" authorId="39" shapeId="0" xr:uid="{FED19CAC-4A97-044D-B60B-2BF426F5F08B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36" authorId="31" shapeId="0" xr:uid="{998AA2C5-FCFC-A34E-85E7-93418CE0F82E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tc={78A0C0A7-A027-7748-BE65-2CF86959F380}</author>
    <author>tc={D54E7158-B278-4D47-B5B3-02A15C1ADBD7}</author>
    <author>tc={38EF495D-5373-244E-A726-D7737FEF46A8}</author>
    <author>tc={0F40E60C-4B70-ED42-BA3E-9B4A89CBE32A}</author>
    <author>tc={C7CE9061-8737-B945-BCB3-1C5941AFF73E}</author>
    <author>tc={4F532F30-D738-3442-BF24-5BAD3D077D61}</author>
    <author>tc={FFDEA591-A9F4-D047-8D90-216EADF9B081}</author>
    <author>tc={1C468F62-73D6-334E-ACBD-1A1E4B5EA5C3}</author>
    <author>tc={05F28AB7-4600-E94A-8A62-9271B0437A5E}</author>
    <author>tc={721D7176-DE59-F945-B408-A6800AC33491}</author>
    <author>tc={107B92E7-BC62-2F4F-8FBE-C813A6568D7D}</author>
    <author>tc={5FC834D3-A34F-CA49-913E-E08AAC12A868}</author>
    <author>tc={82855C81-F25F-3845-99F9-B8B5EAD71C34}</author>
    <author>tc={940B54D8-7C31-8E42-B454-244F5FAC97C2}</author>
    <author>tc={14A880FD-931C-CB46-A11F-A1BFF66037E3}</author>
    <author>tc={04C3A3AB-31AC-E54A-948D-4385335AD8D3}</author>
    <author>tc={D6FA9FEB-AE4F-E248-8788-DC0245FC9153}</author>
    <author>tc={F6175193-E7E8-E747-B636-4D9F2C294F81}</author>
    <author>tc={C6BC885B-4688-B941-BBA4-AFB6A9F271FF}</author>
    <author>tc={9A8C7F92-856A-D74C-8DB0-F53095CD958D}</author>
    <author>tc={4E22812E-D468-194D-97CC-A203A92BD4DC}</author>
    <author>tc={E19E253B-1F97-344D-8E70-8CC368CCBE48}</author>
    <author>tc={0456BF74-8D1A-4F4D-8A4E-55420012F392}</author>
    <author>tc={C46DC78F-110C-5943-8DCA-8C43ABC89B6D}</author>
    <author>tc={F54A98D5-DB4B-5543-B0F9-A33071294191}</author>
    <author>tc={536162B4-E2EA-E24E-8643-889DECB23E13}</author>
    <author>tc={FF14CAA4-1F8E-444C-80AE-7C1F00DB9E18}</author>
    <author>tc={113B1F30-7E4B-5449-93B6-2020D59752C0}</author>
    <author>tc={A2F4AF52-3347-EE43-BE0A-53AA4DE52631}</author>
    <author>tc={3356D625-6E92-1349-BB4F-D35B26A61430}</author>
    <author>tc={9F40CA89-6486-1746-AB7A-BD9F6F3AFFF2}</author>
    <author>tc={D597BF1B-1590-814D-A131-D375DAC99437}</author>
    <author>tc={C114A11D-596E-234E-94E2-8F849283B1AA}</author>
    <author>tc={8DAF4D6C-B6F0-BA42-989A-71CEC26F6140}</author>
    <author>tc={8A3700FE-CC32-4A4E-8FBE-F086FE93B352}</author>
    <author>tc={3D83AF8B-AEEB-964E-ABBA-0CDA593EF18C}</author>
    <author>tc={35160A6F-494C-1943-96E8-AFF3C15CE58A}</author>
    <author>Mifflin Dove Jr.</author>
    <author>tc={7CED8ABC-7488-D54D-8C15-6F62F4971DA6}</author>
    <author>Bill Woolsey</author>
    <author>tc={D6879557-D6F0-9A4C-A7B0-986056C61864}</author>
    <author>tc={91B187E7-1E7D-3D4A-B076-DFF797437A65}</author>
    <author>tc={04A04BC3-6036-6D40-BCD8-68F40A447AFA}</author>
    <author>tc={85D1885D-0C0E-4048-82F8-6C4C0E9AABE1}</author>
  </authors>
  <commentList>
    <comment ref="B9" authorId="0" shapeId="0" xr:uid="{78A0C0A7-A027-7748-BE65-2CF86959F380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</t>
      </text>
    </comment>
    <comment ref="C9" authorId="1" shapeId="0" xr:uid="{D54E7158-B278-4D47-B5B3-02A15C1ADBD7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Trinity + $1250 Bethany</t>
      </text>
    </comment>
    <comment ref="G9" authorId="2" shapeId="0" xr:uid="{38EF495D-5373-244E-A726-D7737FEF46A8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3" shapeId="0" xr:uid="{0F40E60C-4B70-ED42-BA3E-9B4A89CBE32A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4" shapeId="0" xr:uid="{C7CE9061-8737-B945-BCB3-1C5941AFF73E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5" shapeId="0" xr:uid="{4F532F30-D738-3442-BF24-5BAD3D077D6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gift</t>
      </text>
    </comment>
    <comment ref="D10" authorId="6" shapeId="0" xr:uid="{FFDEA591-A9F4-D047-8D90-216EADF9B081}">
      <text>
        <t>[Threaded comment]
Your version of Excel allows you to read this threaded comment; however, any edits to it will get removed if the file is opened in a newer version of Excel. Learn more: https://go.microsoft.com/fwlink/?linkid=870924
Comment:
    $10k Gloria Dei event</t>
      </text>
    </comment>
    <comment ref="H10" authorId="7" shapeId="0" xr:uid="{1C468F62-73D6-334E-ACBD-1A1E4B5EA5C3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8" shapeId="0" xr:uid="{05F28AB7-4600-E94A-8A62-9271B0437A5E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9" shapeId="0" xr:uid="{721D7176-DE59-F945-B408-A6800AC33491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10" shapeId="0" xr:uid="{107B92E7-BC62-2F4F-8FBE-C813A6568D7D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1" shapeId="0" xr:uid="{5FC834D3-A34F-CA49-913E-E08AAC12A86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2" shapeId="0" xr:uid="{82855C81-F25F-3845-99F9-B8B5EAD71C3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B33" authorId="13" shapeId="0" xr:uid="{940B54D8-7C31-8E42-B454-244F5FAC97C2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extra coaching sessions purchased by Advanced participants</t>
      </text>
    </comment>
    <comment ref="K37" authorId="14" shapeId="0" xr:uid="{14A880FD-931C-CB46-A11F-A1BFF66037E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$87000
</t>
      </text>
    </comment>
    <comment ref="G41" authorId="15" shapeId="0" xr:uid="{04C3A3AB-31AC-E54A-948D-4385335AD8D3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second payment</t>
      </text>
    </comment>
    <comment ref="J41" authorId="16" shapeId="0" xr:uid="{D6FA9FEB-AE4F-E248-8788-DC0245FC9153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third
 payment</t>
      </text>
    </comment>
    <comment ref="M41" authorId="17" shapeId="0" xr:uid="{F6175193-E7E8-E747-B636-4D9F2C294F81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final payment</t>
      </text>
    </comment>
    <comment ref="B42" authorId="18" shapeId="0" xr:uid="{C6BC885B-4688-B941-BBA4-AFB6A9F271FF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C53" authorId="19" shapeId="0" xr:uid="{9A8C7F92-856A-D74C-8DB0-F53095CD958D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Platform</t>
      </text>
    </comment>
    <comment ref="M53" authorId="20" shapeId="0" xr:uid="{4E22812E-D468-194D-97CC-A203A92BD4DC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B58" authorId="21" shapeId="0" xr:uid="{E19E253B-1F97-344D-8E70-8CC368CCBE48}">
      <text>
        <t>[Threaded comment]
Your version of Excel allows you to read this threaded comment; however, any edits to it will get removed if the file is opened in a newer version of Excel. Learn more: https://go.microsoft.com/fwlink/?linkid=870924
Comment:
    $3k monthly</t>
      </text>
    </comment>
    <comment ref="D58" authorId="22" shapeId="0" xr:uid="{0456BF74-8D1A-4F4D-8A4E-55420012F392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3" shapeId="0" xr:uid="{C46DC78F-110C-5943-8DCA-8C43ABC89B6D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4" shapeId="0" xr:uid="{F54A98D5-DB4B-5543-B0F9-A3307129419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5" shapeId="0" xr:uid="{536162B4-E2EA-E24E-8643-889DECB23E13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6" shapeId="0" xr:uid="{FF14CAA4-1F8E-444C-80AE-7C1F00DB9E18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7" shapeId="0" xr:uid="{113B1F30-7E4B-5449-93B6-2020D59752C0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8" shapeId="0" xr:uid="{A2F4AF52-3347-EE43-BE0A-53AA4DE52631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9" shapeId="0" xr:uid="{3356D625-6E92-1349-BB4F-D35B26A61430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B69" authorId="30" shapeId="0" xr:uid="{9F40CA89-6486-1746-AB7A-BD9F6F3AFFF2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$5300 Feathr</t>
      </text>
    </comment>
    <comment ref="K69" authorId="31" shapeId="0" xr:uid="{D597BF1B-1590-814D-A131-D375DAC99437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L74" authorId="32" shapeId="0" xr:uid="{C114A11D-596E-234E-94E2-8F849283B1AA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B75" authorId="33" shapeId="0" xr:uid="{8DAF4D6C-B6F0-BA42-989A-71CEC26F6140}">
      <text>
        <t>[Threaded comment]
Your version of Excel allows you to read this threaded comment; however, any edits to it will get removed if the file is opened in a newer version of Excel. Learn more: https://go.microsoft.com/fwlink/?linkid=870924
Comment:
    $2900</t>
      </text>
    </comment>
    <comment ref="C75" authorId="34" shapeId="0" xr:uid="{8A3700FE-CC32-4A4E-8FBE-F086FE93B352}">
      <text>
        <t>[Threaded comment]
Your version of Excel allows you to read this threaded comment; however, any edits to it will get removed if the file is opened in a newer version of Excel. Learn more: https://go.microsoft.com/fwlink/?linkid=870924
Comment:
    $4k</t>
      </text>
    </comment>
    <comment ref="D75" authorId="35" shapeId="0" xr:uid="{3D83AF8B-AEEB-964E-ABBA-0CDA593EF18C}">
      <text>
        <t>[Threaded comment]
Your version of Excel allows you to read this threaded comment; however, any edits to it will get removed if the file is opened in a newer version of Excel. Learn more: https://go.microsoft.com/fwlink/?linkid=870924
Comment:
    $1100</t>
      </text>
    </comment>
    <comment ref="F79" authorId="36" shapeId="0" xr:uid="{35160A6F-494C-1943-96E8-AFF3C15CE58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AV ($4000), Tech Support ($1000) and Medical Staff ($500)</t>
      </text>
    </comment>
    <comment ref="P81" authorId="37" shapeId="0" xr:uid="{784AD64F-C035-7947-BCF3-B01FAF7406E4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G83" authorId="38" shapeId="0" xr:uid="{7CED8ABC-7488-D54D-8C15-6F62F4971DA6}">
      <text>
        <t>[Threaded comment]
Your version of Excel allows you to read this threaded comment; however, any edits to it will get removed if the file is opened in a newer version of Excel. Learn more: https://go.microsoft.com/fwlink/?linkid=870924
Comment:
    FiveTwo Staff (5) travel and hotel</t>
      </text>
    </comment>
    <comment ref="A93" authorId="39" shapeId="0" xr:uid="{13DDAF68-D1B0-2449-8BA8-9ADDC552EAA1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B94" authorId="40" shapeId="0" xr:uid="{D6879557-D6F0-9A4C-A7B0-986056C6186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assessments for Advanced team leaders, 25% of Advanced teams purchase 3 assessments </t>
      </text>
    </comment>
    <comment ref="G94" authorId="41" shapeId="0" xr:uid="{91B187E7-1E7D-3D4A-B076-DFF797437A65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F98" authorId="42" shapeId="0" xr:uid="{04A04BC3-6036-6D40-BCD8-68F40A447AFA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K100" authorId="43" shapeId="0" xr:uid="{85D1885D-0C0E-4048-82F8-6C4C0E9AABE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37" authorId="37" shapeId="0" xr:uid="{5AD94FAF-6167-474B-B205-91ECFBC05EB8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tc={2DBDF3B5-D61A-3F4C-82C0-D932818B0A20}</author>
    <author>tc={CEDB2FFE-274E-A347-988D-C3442EC1BF6F}</author>
    <author>tc={22CD1C51-249B-0F4C-AC0B-E4CA323C1A44}</author>
    <author>tc={A7527F23-6E67-5D4E-A0C6-8BBC26B9BF41}</author>
    <author>tc={CC7C4381-E026-CB48-BC5D-2E5C273798F8}</author>
    <author>tc={255BF4FB-B595-4E4D-B14E-73233735E9CD}</author>
    <author>tc={A6572FEB-AB2F-3245-8834-C7EEDE7DB97F}</author>
    <author>tc={16197834-F178-E144-AF8B-438881245C96}</author>
    <author>tc={26F10B81-5B01-284D-B1F1-2828E5187A50}</author>
    <author>tc={FEFBD379-4FA7-1040-A3EF-153CA20D53D7}</author>
    <author>tc={507D5C48-22E1-1D4B-ABC9-E455C4AEE78A}</author>
    <author>tc={0D2D7223-1207-CE47-8170-990FB6206FBC}</author>
    <author>tc={0DEE6808-BC6E-5E4F-8858-35CD5A6F3437}</author>
    <author>tc={E0547DE8-F3C8-0741-9206-EDEDBF539FF7}</author>
    <author>tc={B3AD8683-4D66-6E44-A1EF-2DF828605F31}</author>
    <author>tc={A0051206-CF0F-C347-9DAA-6A8F74FB2376}</author>
    <author>tc={3DC51A80-A633-DD43-8C5A-E008ADEC6255}</author>
    <author>tc={38DEBE40-2727-164A-AFFF-9476E4612F73}</author>
    <author>tc={B39D1108-95BC-4C47-8BE6-3A810E88C87D}</author>
    <author>tc={60900859-5644-6F4D-AA91-11D8B1070A0F}</author>
    <author>tc={600E68D9-FED6-6C43-B431-71A5A1C135C5}</author>
    <author>tc={ED2AA3AF-88AD-B349-9B3E-4C379091BDA9}</author>
    <author>tc={D3AC113F-5E04-DA4C-AC04-0EDDED8B908E}</author>
    <author>tc={73DABB55-E979-F344-ABB9-A0B9514F487F}</author>
    <author>tc={2E6EA1F2-6A72-D14B-AF55-9544D0EE7DFD}</author>
    <author>tc={1CA072AD-9796-B84C-9E62-CBA5AB622A1C}</author>
    <author>tc={4C9C66B8-71BA-2040-97AA-0CAF06D55A7B}</author>
    <author>tc={DBDF2A1A-AB48-3A4D-970A-576083DCCF2B}</author>
    <author>tc={17398811-6A11-584D-8AC6-67F71F183CC6}</author>
    <author>tc={297F0108-59D4-8B4E-AF47-B67B6F8AFD86}</author>
    <author>tc={BBC75E0E-F912-3B49-B8F0-60DEF2393E51}</author>
    <author>tc={9EEF2827-A017-824D-9542-882D26B6AC62}</author>
    <author>tc={516B448D-84FC-E84D-B817-B2E2AFB87E23}</author>
    <author>tc={D49DEF35-58CF-4B48-B133-6D9F8FD8AAE9}</author>
    <author>tc={1210D713-AE23-7345-9E17-BB242EE8CD1F}</author>
    <author>tc={DC96A1FE-0DEB-E141-8186-035630681DE1}</author>
    <author>tc={1D320B01-B3EE-A244-90D4-25AF4C3AEC25}</author>
    <author>Mifflin Dove Jr.</author>
    <author>tc={79EB1245-0CCE-4B49-B8C1-FB4BF01178E4}</author>
    <author>Bill Woolsey</author>
    <author>tc={95FB9A07-1754-8F4B-A970-0BC3C1ADB52D}</author>
    <author>tc={8B489B20-6310-A041-9060-8B9CBEE2141C}</author>
    <author>tc={17BDF6C1-EE82-1144-8966-1E26CB0EECB2}</author>
    <author>tc={75081926-6BEA-AA40-84BC-BB23BA7F2C6D}</author>
    <author>tc={6FD9635B-2138-D147-BC90-E1D0CFDA0AB2}</author>
    <author>tc={614592B3-4203-D24E-A9B3-43B58CD2782E}</author>
  </authors>
  <commentList>
    <comment ref="B9" authorId="0" shapeId="0" xr:uid="{2DBDF3B5-D61A-3F4C-82C0-D932818B0A20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</t>
      </text>
    </comment>
    <comment ref="G9" authorId="1" shapeId="0" xr:uid="{CEDB2FFE-274E-A347-988D-C3442EC1BF6F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22CD1C51-249B-0F4C-AC0B-E4CA323C1A44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A7527F23-6E67-5D4E-A0C6-8BBC26B9BF41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CC7C4381-E026-CB48-BC5D-2E5C273798F8}">
      <text>
        <t>[Threaded comment]
Your version of Excel allows you to read this threaded comment; however, any edits to it will get removed if the file is opened in a newer version of Excel. Learn more: https://go.microsoft.com/fwlink/?linkid=870924
Comment:
    Donor’s $15k
Normal
Reply:
    Donor gave this in Dec ‘19
Reply:
    Unsure of this.</t>
      </text>
    </comment>
    <comment ref="F10" authorId="5" shapeId="0" xr:uid="{255BF4FB-B595-4E4D-B14E-73233735E9CD}">
      <text>
        <t>[Threaded comment]
Your version of Excel allows you to read this threaded comment; however, any edits to it will get removed if the file is opened in a newer version of Excel. Learn more: https://go.microsoft.com/fwlink/?linkid=870924
Comment:
    Decatur donor - $15k</t>
      </text>
    </comment>
    <comment ref="H10" authorId="6" shapeId="0" xr:uid="{A6572FEB-AB2F-3245-8834-C7EEDE7DB97F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7" shapeId="0" xr:uid="{16197834-F178-E144-AF8B-438881245C96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8" shapeId="0" xr:uid="{26F10B81-5B01-284D-B1F1-2828E5187A50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9" shapeId="0" xr:uid="{FEFBD379-4FA7-1040-A3EF-153CA20D53D7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0" shapeId="0" xr:uid="{507D5C48-22E1-1D4B-ABC9-E455C4AEE78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1" shapeId="0" xr:uid="{0D2D7223-1207-CE47-8170-990FB6206FB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B33" authorId="12" shapeId="0" xr:uid="{0DEE6808-BC6E-5E4F-8858-35CD5A6F3437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extra coaching sessions purchased by Advanced participants</t>
      </text>
    </comment>
    <comment ref="B36" authorId="13" shapeId="0" xr:uid="{E0547DE8-F3C8-0741-9206-EDEDBF539FF7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3 new teams per month and only 1 cohort</t>
      </text>
    </comment>
    <comment ref="K37" authorId="14" shapeId="0" xr:uid="{B3AD8683-4D66-6E44-A1EF-2DF828605F3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$87000
</t>
      </text>
    </comment>
    <comment ref="G41" authorId="15" shapeId="0" xr:uid="{A0051206-CF0F-C347-9DAA-6A8F74FB2376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second payment</t>
      </text>
    </comment>
    <comment ref="J41" authorId="16" shapeId="0" xr:uid="{3DC51A80-A633-DD43-8C5A-E008ADEC6255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third
 payment</t>
      </text>
    </comment>
    <comment ref="M41" authorId="17" shapeId="0" xr:uid="{38DEBE40-2727-164A-AFFF-9476E4612F73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final payment</t>
      </text>
    </comment>
    <comment ref="B42" authorId="18" shapeId="0" xr:uid="{B39D1108-95BC-4C47-8BE6-3A810E88C87D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C53" authorId="19" shapeId="0" xr:uid="{60900859-5644-6F4D-AA91-11D8B1070A0F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Platform</t>
      </text>
    </comment>
    <comment ref="M53" authorId="20" shapeId="0" xr:uid="{600E68D9-FED6-6C43-B431-71A5A1C135C5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B58" authorId="21" shapeId="0" xr:uid="{ED2AA3AF-88AD-B349-9B3E-4C379091BDA9}">
      <text>
        <t>[Threaded comment]
Your version of Excel allows you to read this threaded comment; however, any edits to it will get removed if the file is opened in a newer version of Excel. Learn more: https://go.microsoft.com/fwlink/?linkid=870924
Comment:
    $3k monthly</t>
      </text>
    </comment>
    <comment ref="C58" authorId="22" shapeId="0" xr:uid="{D3AC113F-5E04-DA4C-AC04-0EDDED8B908E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3" shapeId="0" xr:uid="{73DABB55-E979-F344-ABB9-A0B9514F487F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4" shapeId="0" xr:uid="{2E6EA1F2-6A72-D14B-AF55-9544D0EE7DF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5" shapeId="0" xr:uid="{1CA072AD-9796-B84C-9E62-CBA5AB622A1C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6" shapeId="0" xr:uid="{4C9C66B8-71BA-2040-97AA-0CAF06D55A7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7" shapeId="0" xr:uid="{DBDF2A1A-AB48-3A4D-970A-576083DCCF2B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8" shapeId="0" xr:uid="{17398811-6A11-584D-8AC6-67F71F183CC6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9" shapeId="0" xr:uid="{297F0108-59D4-8B4E-AF47-B67B6F8AFD86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B69" authorId="30" shapeId="0" xr:uid="{BBC75E0E-F912-3B49-B8F0-60DEF2393E51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$5300 Feathr</t>
      </text>
    </comment>
    <comment ref="K69" authorId="31" shapeId="0" xr:uid="{9EEF2827-A017-824D-9542-882D26B6AC62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L74" authorId="32" shapeId="0" xr:uid="{516B448D-84FC-E84D-B817-B2E2AFB87E23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B75" authorId="33" shapeId="0" xr:uid="{D49DEF35-58CF-4B48-B133-6D9F8FD8AAE9}">
      <text>
        <t>[Threaded comment]
Your version of Excel allows you to read this threaded comment; however, any edits to it will get removed if the file is opened in a newer version of Excel. Learn more: https://go.microsoft.com/fwlink/?linkid=870924
Comment:
    $2900</t>
      </text>
    </comment>
    <comment ref="C75" authorId="34" shapeId="0" xr:uid="{1210D713-AE23-7345-9E17-BB242EE8CD1F}">
      <text>
        <t>[Threaded comment]
Your version of Excel allows you to read this threaded comment; however, any edits to it will get removed if the file is opened in a newer version of Excel. Learn more: https://go.microsoft.com/fwlink/?linkid=870924
Comment:
    $4k</t>
      </text>
    </comment>
    <comment ref="D75" authorId="35" shapeId="0" xr:uid="{DC96A1FE-0DEB-E141-8186-035630681DE1}">
      <text>
        <t>[Threaded comment]
Your version of Excel allows you to read this threaded comment; however, any edits to it will get removed if the file is opened in a newer version of Excel. Learn more: https://go.microsoft.com/fwlink/?linkid=870924
Comment:
    $1100</t>
      </text>
    </comment>
    <comment ref="F79" authorId="36" shapeId="0" xr:uid="{1D320B01-B3EE-A244-90D4-25AF4C3AEC2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AV ($4000), Tech Support ($1000) and Medical Staff ($500)</t>
      </text>
    </comment>
    <comment ref="P81" authorId="37" shapeId="0" xr:uid="{99C8627F-31D3-3E4C-A4CC-1F3D45B5AE68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G83" authorId="38" shapeId="0" xr:uid="{79EB1245-0CCE-4B49-B8C1-FB4BF01178E4}">
      <text>
        <t>[Threaded comment]
Your version of Excel allows you to read this threaded comment; however, any edits to it will get removed if the file is opened in a newer version of Excel. Learn more: https://go.microsoft.com/fwlink/?linkid=870924
Comment:
    FiveTwo Staff (5) travel and hotel</t>
      </text>
    </comment>
    <comment ref="A93" authorId="39" shapeId="0" xr:uid="{F151C4DB-1CE0-9A43-9F2F-E1547C3A6B26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B94" authorId="40" shapeId="0" xr:uid="{95FB9A07-1754-8F4B-A970-0BC3C1ADB52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assessments for Advanced team leaders, 25% of Advanced teams purchase 3 assessments </t>
      </text>
    </comment>
    <comment ref="G94" authorId="41" shapeId="0" xr:uid="{8B489B20-6310-A041-9060-8B9CBEE2141C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B95" authorId="42" shapeId="0" xr:uid="{17BDF6C1-EE82-1144-8966-1E26CB0EECB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all projected coaching - Advanced included session, 20% of Advanced teams purchase additional coaching, and 50% of that 20% are 3 packs. </t>
      </text>
    </comment>
    <comment ref="K95" authorId="43" shapeId="0" xr:uid="{75081926-6BEA-AA40-84BC-BB23BA7F2C6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Additional $2000 per month for Accelerator teams (10 teams, one coaching per month)
</t>
      </text>
    </comment>
    <comment ref="F98" authorId="44" shapeId="0" xr:uid="{6FD9635B-2138-D147-BC90-E1D0CFDA0AB2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K100" authorId="45" shapeId="0" xr:uid="{614592B3-4203-D24E-A9B3-43B58CD2782E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37" authorId="37" shapeId="0" xr:uid="{B366CEC9-7DA7-AA4F-9B90-B3C862838C99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tc={C20156BA-1198-B64E-901A-E2F20875F16D}</author>
    <author>tc={001E5E5E-144C-2745-8133-06B5EE7A504F}</author>
    <author>tc={D85688F2-712A-EB46-93BC-80258B95691F}</author>
    <author>tc={5DEEE55F-CC9A-264F-AEA8-1963F4C95FC1}</author>
    <author>tc={23B38E18-CDB5-5147-AB51-460FB8AC15E3}</author>
    <author>tc={5EBEB47F-E5A1-404C-B3D4-FD98FF9DEBA3}</author>
    <author>tc={EB055848-C554-B144-8B57-84B8329BF674}</author>
    <author>tc={8A6EB498-ED7F-C940-9FD2-1EE6ACE4E02A}</author>
    <author>tc={269513D5-C59B-8744-B16A-7ADF34D4F6EA}</author>
    <author>tc={6AAA3BC1-A799-5C4F-86CD-B1B1FB8A8762}</author>
    <author>tc={40D0E13A-49F4-FC4C-8233-7447300D315F}</author>
    <author>tc={5ACE794F-7B9F-2B4D-97D5-19877FF990A7}</author>
    <author>tc={76B7F78D-3C59-6A4E-BD36-B2D19BF30F95}</author>
    <author>tc={9A60DB8D-2CBB-5944-AE19-C9015C3F3279}</author>
    <author>tc={E345D9AF-2A20-5642-BBAD-9CFB22E57827}</author>
    <author>tc={2A6BE8A7-7B77-EB4A-9373-A72F220E3ED7}</author>
    <author>tc={F2BA7E52-577A-C942-9CE4-52CE7369721D}</author>
    <author>tc={B35CDCC8-78E8-AA42-8A3D-EA39365A9226}</author>
    <author>tc={313540B7-1F96-A442-965C-77065E662231}</author>
    <author>tc={BB949856-4877-D042-BD2B-3CBE38CDD9A4}</author>
    <author>tc={3F459C21-4F43-2545-90E7-15045EE5BEA9}</author>
    <author>tc={EFBBC876-D236-DB44-ACF6-A982CFDB0126}</author>
    <author>tc={61B6493A-AA3C-F74E-ACF2-42F4F347D186}</author>
    <author>tc={EC32FF88-5F35-6342-A1B2-B5E0BE3EBC58}</author>
    <author>tc={70844BF8-35B4-1B43-92F4-24526886E182}</author>
    <author>tc={163EAE9A-08A6-0441-9380-12245196310F}</author>
    <author>tc={5C6F637F-8280-1A4B-9730-9AEAE3BEE562}</author>
    <author>tc={B69FFCDE-CD6D-E148-A5EC-6FB64113EC83}</author>
    <author>tc={E837A4D7-AD2E-844E-9DCA-1174A5B43398}</author>
    <author>tc={53B9E529-3A06-2248-BEC1-AACF7E3CD073}</author>
    <author>tc={CF902501-E0B8-F54C-8E14-C9C8448F7203}</author>
    <author>tc={4E9ABFB9-D16C-E849-A4BD-0EA80BF031E4}</author>
    <author>tc={3974EC34-00B5-AB46-886C-7D1F0CE2421B}</author>
    <author>tc={D1D6CE1F-D0A3-7140-B39E-4CC427961DC9}</author>
    <author>tc={894F5E89-3DED-B94F-B95A-871067F69168}</author>
    <author>tc={9A8E6834-84F0-B446-9835-64919D5C41CF}</author>
    <author>Mifflin Dove Jr.</author>
    <author>tc={353384E2-ED84-8F4B-9A7F-0596F7D75E84}</author>
    <author>Bill Woolsey</author>
    <author>tc={9199B05C-ECC5-EE4C-8ABE-34CD39B4A1FB}</author>
    <author>tc={4BA163B5-4096-9741-9BDE-7230CA0E3244}</author>
    <author>tc={CBE7FB8B-64F0-4F47-8B40-62045DA30336}</author>
    <author>tc={EC7E11A0-AD59-344A-B3FB-5C38145E13A4}</author>
  </authors>
  <commentList>
    <comment ref="B9" authorId="0" shapeId="0" xr:uid="{C20156BA-1198-B64E-901A-E2F20875F16D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</t>
      </text>
    </comment>
    <comment ref="G9" authorId="1" shapeId="0" xr:uid="{001E5E5E-144C-2745-8133-06B5EE7A504F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D85688F2-712A-EB46-93BC-80258B95691F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5DEEE55F-CC9A-264F-AEA8-1963F4C95FC1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23B38E18-CDB5-5147-AB51-460FB8AC15E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gift</t>
      </text>
    </comment>
    <comment ref="D10" authorId="5" shapeId="0" xr:uid="{5EBEB47F-E5A1-404C-B3D4-FD98FF9DEBA3}">
      <text>
        <t>[Threaded comment]
Your version of Excel allows you to read this threaded comment; however, any edits to it will get removed if the file is opened in a newer version of Excel. Learn more: https://go.microsoft.com/fwlink/?linkid=870924
Comment:
    $10k Gloria Dei event</t>
      </text>
    </comment>
    <comment ref="H10" authorId="6" shapeId="0" xr:uid="{EB055848-C554-B144-8B57-84B8329BF674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7" shapeId="0" xr:uid="{8A6EB498-ED7F-C940-9FD2-1EE6ACE4E02A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8" shapeId="0" xr:uid="{269513D5-C59B-8744-B16A-7ADF34D4F6EA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9" shapeId="0" xr:uid="{6AAA3BC1-A799-5C4F-86CD-B1B1FB8A8762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0" shapeId="0" xr:uid="{40D0E13A-49F4-FC4C-8233-7447300D315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1" shapeId="0" xr:uid="{5ACE794F-7B9F-2B4D-97D5-19877FF990A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B33" authorId="12" shapeId="0" xr:uid="{76B7F78D-3C59-6A4E-BD36-B2D19BF30F95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extra coaching sessions purchased by Advanced participants</t>
      </text>
    </comment>
    <comment ref="K37" authorId="13" shapeId="0" xr:uid="{9A60DB8D-2CBB-5944-AE19-C9015C3F327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$87000
</t>
      </text>
    </comment>
    <comment ref="G41" authorId="14" shapeId="0" xr:uid="{E345D9AF-2A20-5642-BBAD-9CFB22E57827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second payment</t>
      </text>
    </comment>
    <comment ref="J41" authorId="15" shapeId="0" xr:uid="{2A6BE8A7-7B77-EB4A-9373-A72F220E3ED7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third
 payment</t>
      </text>
    </comment>
    <comment ref="M41" authorId="16" shapeId="0" xr:uid="{F2BA7E52-577A-C942-9CE4-52CE7369721D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 Seward final payment</t>
      </text>
    </comment>
    <comment ref="B42" authorId="17" shapeId="0" xr:uid="{B35CDCC8-78E8-AA42-8A3D-EA39365A922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C53" authorId="18" shapeId="0" xr:uid="{313540B7-1F96-A442-965C-77065E662231}">
      <text>
        <t>[Threaded comment]
Your version of Excel allows you to read this threaded comment; however, any edits to it will get removed if the file is opened in a newer version of Excel. Learn more: https://go.microsoft.com/fwlink/?linkid=870924
Comment:
    Membership Platform</t>
      </text>
    </comment>
    <comment ref="M53" authorId="19" shapeId="0" xr:uid="{BB949856-4877-D042-BD2B-3CBE38CDD9A4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B58" authorId="20" shapeId="0" xr:uid="{3F459C21-4F43-2545-90E7-15045EE5BEA9}">
      <text>
        <t>[Threaded comment]
Your version of Excel allows you to read this threaded comment; however, any edits to it will get removed if the file is opened in a newer version of Excel. Learn more: https://go.microsoft.com/fwlink/?linkid=870924
Comment:
    $3k monthly</t>
      </text>
    </comment>
    <comment ref="D58" authorId="21" shapeId="0" xr:uid="{EFBBC876-D236-DB44-ACF6-A982CFDB0126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2" shapeId="0" xr:uid="{61B6493A-AA3C-F74E-ACF2-42F4F347D186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3" shapeId="0" xr:uid="{EC32FF88-5F35-6342-A1B2-B5E0BE3EBC5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4" shapeId="0" xr:uid="{70844BF8-35B4-1B43-92F4-24526886E182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5" shapeId="0" xr:uid="{163EAE9A-08A6-0441-9380-12245196310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6" shapeId="0" xr:uid="{5C6F637F-8280-1A4B-9730-9AEAE3BEE562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7" shapeId="0" xr:uid="{B69FFCDE-CD6D-E148-A5EC-6FB64113EC83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8" shapeId="0" xr:uid="{E837A4D7-AD2E-844E-9DCA-1174A5B43398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B69" authorId="29" shapeId="0" xr:uid="{53B9E529-3A06-2248-BEC1-AACF7E3CD073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$5300 Feathr</t>
      </text>
    </comment>
    <comment ref="K69" authorId="30" shapeId="0" xr:uid="{CF902501-E0B8-F54C-8E14-C9C8448F7203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L74" authorId="31" shapeId="0" xr:uid="{4E9ABFB9-D16C-E849-A4BD-0EA80BF031E4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B75" authorId="32" shapeId="0" xr:uid="{3974EC34-00B5-AB46-886C-7D1F0CE2421B}">
      <text>
        <t>[Threaded comment]
Your version of Excel allows you to read this threaded comment; however, any edits to it will get removed if the file is opened in a newer version of Excel. Learn more: https://go.microsoft.com/fwlink/?linkid=870924
Comment:
    $2900</t>
      </text>
    </comment>
    <comment ref="C75" authorId="33" shapeId="0" xr:uid="{D1D6CE1F-D0A3-7140-B39E-4CC427961DC9}">
      <text>
        <t>[Threaded comment]
Your version of Excel allows you to read this threaded comment; however, any edits to it will get removed if the file is opened in a newer version of Excel. Learn more: https://go.microsoft.com/fwlink/?linkid=870924
Comment:
    $4k</t>
      </text>
    </comment>
    <comment ref="D75" authorId="34" shapeId="0" xr:uid="{894F5E89-3DED-B94F-B95A-871067F69168}">
      <text>
        <t>[Threaded comment]
Your version of Excel allows you to read this threaded comment; however, any edits to it will get removed if the file is opened in a newer version of Excel. Learn more: https://go.microsoft.com/fwlink/?linkid=870924
Comment:
    $1100</t>
      </text>
    </comment>
    <comment ref="F79" authorId="35" shapeId="0" xr:uid="{9A8E6834-84F0-B446-9835-64919D5C41C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AV ($4000), Tech Support ($1000) and Medical Staff ($500)</t>
      </text>
    </comment>
    <comment ref="P81" authorId="36" shapeId="0" xr:uid="{1E089423-9C5D-0B4D-B4E4-E46AC9A9C989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G83" authorId="37" shapeId="0" xr:uid="{353384E2-ED84-8F4B-9A7F-0596F7D75E84}">
      <text>
        <t>[Threaded comment]
Your version of Excel allows you to read this threaded comment; however, any edits to it will get removed if the file is opened in a newer version of Excel. Learn more: https://go.microsoft.com/fwlink/?linkid=870924
Comment:
    FiveTwo Staff (5) travel and hotel</t>
      </text>
    </comment>
    <comment ref="A93" authorId="38" shapeId="0" xr:uid="{2F066534-D723-9143-AF9B-7E0A22A33CBE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B94" authorId="39" shapeId="0" xr:uid="{9199B05C-ECC5-EE4C-8ABE-34CD39B4A1F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assessments for Advanced team leaders, 25% of Advanced teams purchase 3 assessments </t>
      </text>
    </comment>
    <comment ref="G94" authorId="40" shapeId="0" xr:uid="{4BA163B5-4096-9741-9BDE-7230CA0E3244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F98" authorId="41" shapeId="0" xr:uid="{CBE7FB8B-64F0-4F47-8B40-62045DA30336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K100" authorId="42" shapeId="0" xr:uid="{EC7E11A0-AD59-344A-B3FB-5C38145E13A4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37" authorId="36" shapeId="0" xr:uid="{58DA98A1-F0A8-AF49-BBE3-A021E6210FA3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tc={DB1BCD11-BED0-E042-91C4-669954DF2C3F}</author>
    <author>tc={00FA410A-580D-B44F-9E7A-6DD5AF2FD544}</author>
    <author>tc={41E30E70-FDEE-5B49-B189-20D78D2FA797}</author>
    <author>tc={880E213D-3434-044D-8038-F0ED6FCA2F3C}</author>
    <author>tc={D24118D3-77DD-354A-B0B8-603064D024E4}</author>
    <author>tc={3F2E022A-EA4A-6F40-9391-22930C381258}</author>
    <author>tc={7C9F6E7E-FB8F-6646-A8F1-8C2B342624E4}</author>
    <author>tc={827BAD15-7F58-534A-845C-74515DDCB2B1}</author>
    <author>tc={DB622C44-41C2-6B4A-8A14-FE9B4281EE38}</author>
    <author>tc={C040AAA6-4812-A441-AFE2-45611C156012}</author>
    <author>tc={812D1E15-D09E-7C46-8C9D-CA9C40BC29D3}</author>
    <author>tc={EEFD2485-4B1F-D54C-ACD6-7CB6D0E464AB}</author>
    <author>tc={AEB0432C-5125-CD45-B250-5B244A0E5A00}</author>
    <author>tc={D1BC090D-9109-4A42-804B-F2D06BCFEBD4}</author>
    <author>tc={DA4ED5F8-AA84-054B-AC9E-898CD9E447C1}</author>
    <author>tc={75416DA1-19F8-3240-8D52-BDB0F5A65E56}</author>
    <author>tc={CCF9D164-E77E-D543-85F3-F509A8E8EF5E}</author>
    <author>tc={DAF7057C-4D49-CC43-907E-9DD5EB9718BA}</author>
    <author>tc={81850401-4671-324E-B3E0-F6A1E8035130}</author>
    <author>tc={BC07214F-5960-7748-AF0A-C9873F70FBC6}</author>
    <author>tc={0DAF0DF8-2709-6E41-8686-C405E5CEA4D3}</author>
    <author>tc={7C324C46-492D-F94D-B625-AB74A757FC50}</author>
    <author>tc={31646D32-2A84-EA45-83D4-E03E89CA596C}</author>
    <author>tc={E644C537-C8E4-BD4A-9A65-BD769E2D0691}</author>
    <author>tc={B975D4F4-7635-D648-B58F-913E16028F19}</author>
    <author>tc={00DEE54F-F2A9-4A46-9896-57FAD950566C}</author>
    <author>tc={B8D8EDF8-3265-FA49-87C2-F928EE521EB0}</author>
    <author>tc={EBAD77BC-979C-974D-B744-DADAA24F2BB2}</author>
    <author>tc={DB201A96-1CB4-0B45-A7A2-13BD51253F45}</author>
    <author>tc={106866D6-4753-C348-8657-E0E3580B2FD0}</author>
    <author>tc={641FABF4-BC9C-7A45-824A-541F54D80800}</author>
    <author>tc={61150FFA-D01A-8A41-AF45-EE9938B7E40A}</author>
    <author>tc={094133D7-78E8-6248-80AC-0EB350AF74E7}</author>
    <author>tc={BC9A39E8-E074-4B4C-84A2-F4DFDD34FB38}</author>
    <author>tc={70849C03-802D-194D-AD53-714DC7CF58CF}</author>
    <author>tc={CF449942-E91E-D642-B637-FCE73807521F}</author>
    <author>tc={6992852E-AA4D-F64E-B19D-75722236BAA9}</author>
    <author>Mifflin Dove Jr.</author>
    <author>Bill Woolsey</author>
    <author>tc={DF207042-542B-3442-889E-0768B2796BB4}</author>
    <author>tc={C5165A84-C28C-EC41-A670-22DAA233F301}</author>
    <author>tc={56DF731D-751D-794C-970D-BAE5023EB60A}</author>
  </authors>
  <commentList>
    <comment ref="B9" authorId="0" shapeId="0" xr:uid="{DB1BCD11-BED0-E042-91C4-669954DF2C3F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Bethany $1250
Reply:
    Trinity Lisle $5k, Bethany $1250
Reply:
    $5k Immanuel Macomb and $3k Messiah - Plano</t>
      </text>
    </comment>
    <comment ref="G9" authorId="1" shapeId="0" xr:uid="{00FA410A-580D-B44F-9E7A-6DD5AF2FD544}">
      <text>
        <t>[Threaded comment]
Your version of Excel allows you to read this threaded comment; however, any edits to it will get removed if the file is opened in a newer version of Excel. Learn more: https://go.microsoft.com/fwlink/?linkid=870924
Comment:
    Trinity Lisle $5k
Reply:
    Also includes Bethany 1250 and Summit 2500
Reply:
    Summit 1250</t>
      </text>
    </comment>
    <comment ref="J9" authorId="2" shapeId="0" xr:uid="{41E30E70-FDEE-5B49-B189-20D78D2FA797}">
      <text>
        <t>[Threaded comment]
Your version of Excel allows you to read this threaded comment; however, any edits to it will get removed if the file is opened in a newer version of Excel. Learn more: https://go.microsoft.com/fwlink/?linkid=870924
Comment:
    Our Savior McKinney $12k
Summit $2,500
Gloria Dei $10,000
Reply:
    Summit 1250; OSM - 0</t>
      </text>
    </comment>
    <comment ref="M9" authorId="3" shapeId="0" xr:uid="{880E213D-3434-044D-8038-F0ED6FCA2F3C}">
      <text>
        <t>[Threaded comment]
Your version of Excel allows you to read this threaded comment; however, any edits to it will get removed if the file is opened in a newer version of Excel. Learn more: https://go.microsoft.com/fwlink/?linkid=870924
Comment:
    Summit 1250 and assumed additional $2500</t>
      </text>
    </comment>
    <comment ref="B10" authorId="4" shapeId="0" xr:uid="{D24118D3-77DD-354A-B0B8-603064D024E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gift</t>
      </text>
    </comment>
    <comment ref="D10" authorId="5" shapeId="0" xr:uid="{3F2E022A-EA4A-6F40-9391-22930C381258}">
      <text>
        <t>[Threaded comment]
Your version of Excel allows you to read this threaded comment; however, any edits to it will get removed if the file is opened in a newer version of Excel. Learn more: https://go.microsoft.com/fwlink/?linkid=870924
Comment:
    $10k Gloria Dei event
$10k Las Vegas donor</t>
      </text>
    </comment>
    <comment ref="H10" authorId="6" shapeId="0" xr:uid="{7C9F6E7E-FB8F-6646-A8F1-8C2B342624E4}">
      <text>
        <t>[Threaded comment]
Your version of Excel allows you to read this threaded comment; however, any edits to it will get removed if the file is opened in a newer version of Excel. Learn more: https://go.microsoft.com/fwlink/?linkid=870924
Comment:
    $5k added for virtual donor Las Vegas
Reply:
    Did not happen.</t>
      </text>
    </comment>
    <comment ref="I10" authorId="7" shapeId="0" xr:uid="{827BAD15-7F58-534A-845C-74515DDCB2B1}">
      <text>
        <t>[Threaded comment]
Your version of Excel allows you to read this threaded comment; however, any edits to it will get removed if the file is opened in a newer version of Excel. Learn more: https://go.microsoft.com/fwlink/?linkid=870924
Comment:
    Cook $30k gift for golf event</t>
      </text>
    </comment>
    <comment ref="K10" authorId="8" shapeId="0" xr:uid="{DB622C44-41C2-6B4A-8A14-FE9B4281EE38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Golf, Give, Grow Getaway</t>
      </text>
    </comment>
    <comment ref="L10" authorId="9" shapeId="0" xr:uid="{C040AAA6-4812-A441-AFE2-45611C156012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end campaign</t>
      </text>
    </comment>
    <comment ref="A13" authorId="10" shapeId="0" xr:uid="{812D1E15-D09E-7C46-8C9D-CA9C40BC29D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 in Summits starting in Q2.    </t>
      </text>
    </comment>
    <comment ref="F14" authorId="11" shapeId="0" xr:uid="{EEFD2485-4B1F-D54C-ACD6-7CB6D0E464A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$34k revenue from each conference assumes 200 attendees and pricing of $149 (early bird) and $179.  </t>
      </text>
    </comment>
    <comment ref="K37" authorId="12" shapeId="0" xr:uid="{AEB0432C-5125-CD45-B250-5B244A0E5A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$87000
</t>
      </text>
    </comment>
    <comment ref="D41" authorId="13" shapeId="0" xr:uid="{D1BC090D-9109-4A42-804B-F2D06BCFEBD4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G41" authorId="14" shapeId="0" xr:uid="{DA4ED5F8-AA84-054B-AC9E-898CD9E447C1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J41" authorId="15" shapeId="0" xr:uid="{75416DA1-19F8-3240-8D52-BDB0F5A65E56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M41" authorId="16" shapeId="0" xr:uid="{CCF9D164-E77E-D543-85F3-F509A8E8EF5E}">
      <text>
        <t>[Threaded comment]
Your version of Excel allows you to read this threaded comment; however, any edits to it will get removed if the file is opened in a newer version of Excel. Learn more: https://go.microsoft.com/fwlink/?linkid=870924
Comment:
    St. John’s Seward cancelled - was $7500</t>
      </text>
    </comment>
    <comment ref="B42" authorId="17" shapeId="0" xr:uid="{DAF7057C-4D49-CC43-907E-9DD5EB9718BA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membership based on % of SN participants joining as members.</t>
      </text>
    </comment>
    <comment ref="M53" authorId="18" shapeId="0" xr:uid="{81850401-4671-324E-B3E0-F6A1E8035130}">
      <text>
        <t>[Threaded comment]
Your version of Excel allows you to read this threaded comment; however, any edits to it will get removed if the file is opened in a newer version of Excel. Learn more: https://go.microsoft.com/fwlink/?linkid=870924
Comment:
    Virtuous license</t>
      </text>
    </comment>
    <comment ref="B58" authorId="19" shapeId="0" xr:uid="{BC07214F-5960-7748-AF0A-C9873F70FBC6}">
      <text>
        <t>[Threaded comment]
Your version of Excel allows you to read this threaded comment; however, any edits to it will get removed if the file is opened in a newer version of Excel. Learn more: https://go.microsoft.com/fwlink/?linkid=870924
Comment:
    $3k monthly</t>
      </text>
    </comment>
    <comment ref="C58" authorId="20" shapeId="0" xr:uid="{0DAF0DF8-2709-6E41-8686-C405E5CEA4D3}">
      <text>
        <t>[Threaded comment]
Your version of Excel allows you to read this threaded comment; however, any edits to it will get removed if the file is opened in a newer version of Excel. Learn more: https://go.microsoft.com/fwlink/?linkid=870924
Comment:
    $1300 - Gloria Dei donor event
$1800 - 2020 Donor thank you gifts</t>
      </text>
    </comment>
    <comment ref="D58" authorId="21" shapeId="0" xr:uid="{7C324C46-492D-F94D-B625-AB74A757FC50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payment for Horseshoe Bay - $8500</t>
      </text>
    </comment>
    <comment ref="E58" authorId="22" shapeId="0" xr:uid="{31646D32-2A84-EA45-83D4-E03E89CA596C}">
      <text>
        <t>[Threaded comment]
Your version of Excel allows you to read this threaded comment; however, any edits to it will get removed if the file is opened in a newer version of Excel. Learn more: https://go.microsoft.com/fwlink/?linkid=870924
Comment:
    Second payment to Horseshoe Bay - $8500</t>
      </text>
    </comment>
    <comment ref="H58" authorId="23" shapeId="0" xr:uid="{E644C537-C8E4-BD4A-9A65-BD769E2D069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payment to Horseshoe Bay - $8500</t>
      </text>
    </comment>
    <comment ref="I58" authorId="24" shapeId="0" xr:uid="{B975D4F4-7635-D648-B58F-913E16028F19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
 payment to Horseshoe Bay - $8500</t>
      </text>
    </comment>
    <comment ref="J58" authorId="25" shapeId="0" xr:uid="{00DEE54F-F2A9-4A46-9896-57FAD950566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$15k for golf outing materials, such as gift bags, etc.</t>
      </text>
    </comment>
    <comment ref="K58" authorId="26" shapeId="0" xr:uid="{B8D8EDF8-3265-FA49-87C2-F928EE521EB0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payment to Horseshoe Bay (Estimated $3
5,000)</t>
      </text>
    </comment>
    <comment ref="L58" authorId="27" shapeId="0" xr:uid="{EBAD77BC-979C-974D-B744-DADAA24F2BB2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monthly + Dallas invitations</t>
      </text>
    </comment>
    <comment ref="M58" authorId="28" shapeId="0" xr:uid="{DB201A96-1CB4-0B45-A7A2-13BD51253F45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 end-of-year $3,106 + $1,000 for Dallas event food</t>
      </text>
    </comment>
    <comment ref="B63" authorId="29" shapeId="0" xr:uid="{106866D6-4753-C348-8657-E0E3580B2FD0}">
      <text>
        <t>[Threaded comment]
Your version of Excel allows you to read this threaded comment; however, any edits to it will get removed if the file is opened in a newer version of Excel. Learn more: https://go.microsoft.com/fwlink/?linkid=870924
Comment:
    $3746 Feathr
$500 podcast agent</t>
      </text>
    </comment>
    <comment ref="C63" authorId="30" shapeId="0" xr:uid="{641FABF4-BC9C-7A45-824A-541F54D80800}">
      <text>
        <t>[Threaded comment]
Your version of Excel allows you to read this threaded comment; however, any edits to it will get removed if the file is opened in a newer version of Excel. Learn more: https://go.microsoft.com/fwlink/?linkid=870924
Comment:
    $2600 - digizent 
$6250 - feathr 6 mo contract
$1500 - unseminary
$6250 - Highland
$4000 - BigClick</t>
      </text>
    </comment>
    <comment ref="D63" authorId="31" shapeId="0" xr:uid="{61150FFA-D01A-8A41-AF45-EE9938B7E40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$7245 Highland Solutions final payment</t>
      </text>
    </comment>
    <comment ref="K69" authorId="32" shapeId="0" xr:uid="{094133D7-78E8-6248-80AC-0EB350AF74E7}">
      <text>
        <t>[Threaded comment]
Your version of Excel allows you to read this threaded comment; however, any edits to it will get removed if the file is opened in a newer version of Excel. Learn more: https://go.microsoft.com/fwlink/?linkid=870924
Comment:
    Feathr license</t>
      </text>
    </comment>
    <comment ref="E70" authorId="33" shapeId="0" xr:uid="{BC9A39E8-E074-4B4C-84A2-F4DFDD34FB38}">
      <text>
        <t>[Threaded comment]
Your version of Excel allows you to read this threaded comment; however, any edits to it will get removed if the file is opened in a newer version of Excel. Learn more: https://go.microsoft.com/fwlink/?linkid=870924
Comment:
    $6k Big Click final payment ph 1
$9k Big Click initial payment ph 2</t>
      </text>
    </comment>
    <comment ref="F70" authorId="34" shapeId="0" xr:uid="{70849C03-802D-194D-AD53-714DC7CF58C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$9250 Big Click Final payment ph 2
</t>
      </text>
    </comment>
    <comment ref="C71" authorId="35" shapeId="0" xr:uid="{CF449942-E91E-D642-B637-FCE73807521F}">
      <text>
        <t>[Threaded comment]
Your version of Excel allows you to read this threaded comment; however, any edits to it will get removed if the file is opened in a newer version of Excel. Learn more: https://go.microsoft.com/fwlink/?linkid=870924
Comment:
    digizent</t>
      </text>
    </comment>
    <comment ref="L74" authorId="36" shapeId="0" xr:uid="{6992852E-AA4D-F64E-B19D-75722236BAA9}">
      <text>
        <t>[Threaded comment]
Your version of Excel allows you to read this threaded comment; however, any edits to it will get removed if the file is opened in a newer version of Excel. Learn more: https://go.microsoft.com/fwlink/?linkid=870924
Comment:
    Golf donor event travel</t>
      </text>
    </comment>
    <comment ref="P81" authorId="37" shapeId="0" xr:uid="{715E9F83-7704-0148-A504-73B7C9A78F36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Speakers Stipends were 60% of total speaker costs. Speaker expenses were 40%
</t>
        </r>
      </text>
    </comment>
    <comment ref="A93" authorId="38" shapeId="0" xr:uid="{D76D8CF3-51C7-7B4B-B83E-792725F0ADB0}">
      <text>
        <r>
          <rPr>
            <b/>
            <sz val="9"/>
            <color rgb="FF000000"/>
            <rFont val="Calibri"/>
            <family val="2"/>
          </rPr>
          <t>Bill Woolsey: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This section tied into 2nd worksheet - StartNew Revenue &amp; Costs</t>
        </r>
      </text>
    </comment>
    <comment ref="G94" authorId="39" shapeId="0" xr:uid="{DF207042-542B-3442-889E-0768B2796BB4}">
      <text>
        <t>[Threaded comment]
Your version of Excel allows you to read this threaded comment; however, any edits to it will get removed if the file is opened in a newer version of Excel. Learn more: https://go.microsoft.com/fwlink/?linkid=870924
Comment:
    Assessments for next month Accelerator</t>
      </text>
    </comment>
    <comment ref="F98" authorId="40" shapeId="0" xr:uid="{C5165A84-C28C-EC41-A670-22DAA233F301}">
      <text>
        <t>[Threaded comment]
Your version of Excel allows you to read this threaded comment; however, any edits to it will get removed if the file is opened in a newer version of Excel. Learn more: https://go.microsoft.com/fwlink/?linkid=870924
Comment:
    Learn Dash annual fees</t>
      </text>
    </comment>
    <comment ref="K100" authorId="41" shapeId="0" xr:uid="{56DF731D-751D-794C-970D-BAE5023EB60A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Bill is one trainer</t>
      </text>
    </comment>
    <comment ref="A137" authorId="37" shapeId="0" xr:uid="{A3EDF636-3FD7-FD42-9BB2-54E530D5C1C9}">
      <text>
        <r>
          <rPr>
            <b/>
            <sz val="9"/>
            <color rgb="FF000000"/>
            <rFont val="Tahoma"/>
            <family val="2"/>
          </rPr>
          <t>Mifflin Dove Jr.: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Total cash and cash equivalents less total credit cards and payroll taxes owed.
</t>
        </r>
      </text>
    </comment>
  </commentList>
</comments>
</file>

<file path=xl/sharedStrings.xml><?xml version="1.0" encoding="utf-8"?>
<sst xmlns="http://schemas.openxmlformats.org/spreadsheetml/2006/main" count="2457" uniqueCount="734">
  <si>
    <t>FiveTwo Network</t>
  </si>
  <si>
    <t>Cash Flow Forecasting Worksheet</t>
  </si>
  <si>
    <t>January - December 2017</t>
  </si>
  <si>
    <t>Forecast</t>
  </si>
  <si>
    <t>2017 Annual Forecast</t>
  </si>
  <si>
    <t>2016 Annual Forecast</t>
  </si>
  <si>
    <t>2017-2016 
Delta</t>
  </si>
  <si>
    <t>Annual Budget</t>
  </si>
  <si>
    <t>Assumptions</t>
  </si>
  <si>
    <t>Income</t>
  </si>
  <si>
    <t xml:space="preserve">   40000 Donative</t>
  </si>
  <si>
    <t xml:space="preserve">      40100 Grants- Restricted</t>
  </si>
  <si>
    <t>No Thrivent website grant</t>
  </si>
  <si>
    <t xml:space="preserve">      40200 Grants - Unrestricted</t>
  </si>
  <si>
    <t>Trinity Klein grant &amp; Kraft Foundation grant</t>
  </si>
  <si>
    <t xml:space="preserve">      40300 Flagships</t>
  </si>
  <si>
    <t xml:space="preserve">      40400 Partners</t>
  </si>
  <si>
    <t>equals # of 2016 partner congregations</t>
  </si>
  <si>
    <t xml:space="preserve">      40500 Supporters</t>
  </si>
  <si>
    <t xml:space="preserve">   Total 40000 Donative</t>
  </si>
  <si>
    <t xml:space="preserve">   41000 Conference Revenue</t>
  </si>
  <si>
    <t xml:space="preserve">      41100 Registration</t>
  </si>
  <si>
    <t>500 in attendance - $51,181 estimated</t>
  </si>
  <si>
    <t xml:space="preserve">      41200 Sponsorships/Grants</t>
  </si>
  <si>
    <t>$55k estimated per Dana</t>
  </si>
  <si>
    <t xml:space="preserve">      41300 Merchandise sales</t>
  </si>
  <si>
    <t xml:space="preserve">   Total 41000 Conference Revenue</t>
  </si>
  <si>
    <t xml:space="preserve">   46400 Other Types of Income</t>
  </si>
  <si>
    <t xml:space="preserve">      46430 Outside Travel Reimbusements</t>
  </si>
  <si>
    <t xml:space="preserve">   Total 46400 Other Types of Income</t>
  </si>
  <si>
    <t xml:space="preserve">   47000 Earned</t>
  </si>
  <si>
    <t xml:space="preserve">      47100 Products</t>
  </si>
  <si>
    <t xml:space="preserve">      46440 Book Sales</t>
  </si>
  <si>
    <t xml:space="preserve">     47200 District Contracts</t>
  </si>
  <si>
    <t xml:space="preserve">           Florida Contract</t>
  </si>
  <si>
    <t>Florida assessment Jan-June; begin 3 yr in July</t>
  </si>
  <si>
    <t xml:space="preserve">           Michigan Contract</t>
  </si>
  <si>
    <t xml:space="preserve">           New Jersey Contract</t>
  </si>
  <si>
    <t>NJ assessment June-Oct; begin 3 yr in November</t>
  </si>
  <si>
    <t xml:space="preserve">      47300 StartNew</t>
  </si>
  <si>
    <t>20 additional teams added</t>
  </si>
  <si>
    <t xml:space="preserve">      47500 Speaking Fees</t>
  </si>
  <si>
    <t xml:space="preserve">   Total 47000 Earned</t>
  </si>
  <si>
    <t xml:space="preserve">   49000 Discounts to Clients</t>
  </si>
  <si>
    <t xml:space="preserve">   Unapplied Cash Payment Income</t>
  </si>
  <si>
    <t>Total Income</t>
  </si>
  <si>
    <t>Expenses</t>
  </si>
  <si>
    <t xml:space="preserve">   52000 ADMINISTRATIVE COSTS</t>
  </si>
  <si>
    <t xml:space="preserve">      52005 Bank Service Charges</t>
  </si>
  <si>
    <t xml:space="preserve">      52300 3rd Party Software</t>
  </si>
  <si>
    <t xml:space="preserve">      52400 Legal &amp; Accounting Fees</t>
  </si>
  <si>
    <t>Includes bookkeeper contract</t>
  </si>
  <si>
    <t xml:space="preserve">      52700 Cell Phone</t>
  </si>
  <si>
    <t xml:space="preserve">      52800 Insurance</t>
  </si>
  <si>
    <t xml:space="preserve">      53400 Travel Expenses</t>
  </si>
  <si>
    <t>Beyond the districts under contract</t>
  </si>
  <si>
    <t xml:space="preserve">      53500 Business Expenses</t>
  </si>
  <si>
    <t xml:space="preserve">      53600 BOD Expenses</t>
  </si>
  <si>
    <t xml:space="preserve">   Total 52000 ADMINISTRATIVE COSTS</t>
  </si>
  <si>
    <t xml:space="preserve">   DIGITAL</t>
  </si>
  <si>
    <t xml:space="preserve">      52200 Creative &amp; Advertising</t>
  </si>
  <si>
    <t xml:space="preserve">      52500 Web design overhaul/maintenance</t>
  </si>
  <si>
    <t xml:space="preserve">      52600 Printing/postage (incls development)</t>
  </si>
  <si>
    <t xml:space="preserve">      53800 FiveTwo Imprints</t>
  </si>
  <si>
    <t xml:space="preserve">   Total DIGITAL</t>
  </si>
  <si>
    <t xml:space="preserve">   54000 CONFERENCE EXPENSE</t>
  </si>
  <si>
    <t>$99k per Dana</t>
  </si>
  <si>
    <t xml:space="preserve">      54100 Facilities</t>
  </si>
  <si>
    <t xml:space="preserve">      54200 Supplies &amp; Misc</t>
  </si>
  <si>
    <t xml:space="preserve">      54300 Speakers</t>
  </si>
  <si>
    <t xml:space="preserve">         54350 Speaker's Expenses</t>
  </si>
  <si>
    <t xml:space="preserve">      54400 Support Staff</t>
  </si>
  <si>
    <t xml:space="preserve">      54500 Food</t>
  </si>
  <si>
    <t xml:space="preserve">      54700 Marketing &amp; Communication</t>
  </si>
  <si>
    <t xml:space="preserve">   Total 54000 CONFERENCE EXPENSE</t>
  </si>
  <si>
    <t>Conference nets $8k</t>
  </si>
  <si>
    <t xml:space="preserve">   LOCALS</t>
  </si>
  <si>
    <t xml:space="preserve">      53100 Curriculum Production </t>
  </si>
  <si>
    <t xml:space="preserve">      53200 Catalyst Development</t>
  </si>
  <si>
    <t>February retreat for Catalysts &amp; Coaches</t>
  </si>
  <si>
    <t xml:space="preserve">   Total LOCALS</t>
  </si>
  <si>
    <t xml:space="preserve">    STARTNEW</t>
  </si>
  <si>
    <t>20 new teams in incubator</t>
  </si>
  <si>
    <t xml:space="preserve">        Assessments (Training &amp; Units)</t>
  </si>
  <si>
    <t xml:space="preserve">        Contract Coaches &amp; Assessors</t>
  </si>
  <si>
    <t xml:space="preserve">        CoachNet - Coach Training</t>
  </si>
  <si>
    <t xml:space="preserve">        53700 3Days &amp; 1Days</t>
  </si>
  <si>
    <t xml:space="preserve">                Honorariums</t>
  </si>
  <si>
    <t xml:space="preserve">                Thrivent  - Trainer Fee</t>
  </si>
  <si>
    <t xml:space="preserve">                Travel &amp; Hotel</t>
  </si>
  <si>
    <t xml:space="preserve">                Materials</t>
  </si>
  <si>
    <t xml:space="preserve">                Food</t>
  </si>
  <si>
    <t xml:space="preserve">   Total STARTNEW</t>
  </si>
  <si>
    <t xml:space="preserve">   55000 DISTRICT CONTRACT EXPENSES</t>
  </si>
  <si>
    <t xml:space="preserve">      Florida Expenses</t>
  </si>
  <si>
    <t xml:space="preserve">      Michigan Expenses</t>
  </si>
  <si>
    <t xml:space="preserve">      New Jersey Expenses</t>
  </si>
  <si>
    <t xml:space="preserve">   Total 55000 DISTRICT CONTRACT EXPENSES</t>
  </si>
  <si>
    <t>66000 Payroll Expenses</t>
  </si>
  <si>
    <r>
      <t xml:space="preserve">     </t>
    </r>
    <r>
      <rPr>
        <sz val="8"/>
        <color indexed="8"/>
        <rFont val="Arial"/>
        <family val="2"/>
      </rPr>
      <t xml:space="preserve"> Crosspoint Reimbursement</t>
    </r>
  </si>
  <si>
    <t>No increase in Ex. Dir. Package / New full-time @$125k total package starting June</t>
  </si>
  <si>
    <t xml:space="preserve">      Contract Staff</t>
  </si>
  <si>
    <t>New mar/com director contract</t>
  </si>
  <si>
    <t xml:space="preserve">      Payroll Taxes</t>
  </si>
  <si>
    <t xml:space="preserve">      Salary &amp; Wages</t>
  </si>
  <si>
    <t>10% increase</t>
  </si>
  <si>
    <t xml:space="preserve">   Total 66000 Payroll Expenses</t>
  </si>
  <si>
    <t>Total Expenses</t>
  </si>
  <si>
    <t>Net Income</t>
  </si>
  <si>
    <t>Cash at Beginning of Period</t>
  </si>
  <si>
    <t>Forecasted Cash Balance</t>
  </si>
  <si>
    <t>Quickbooks Actual Balance</t>
  </si>
  <si>
    <t>2021 Forecast</t>
  </si>
  <si>
    <t>2021 Budget</t>
  </si>
  <si>
    <t>2019 Forecast</t>
  </si>
  <si>
    <t>Delta</t>
  </si>
  <si>
    <t>Operating Delta</t>
  </si>
  <si>
    <t>NOTES</t>
  </si>
  <si>
    <t xml:space="preserve">                 FrontLine Fund</t>
  </si>
  <si>
    <t xml:space="preserve">      40400 Congregation Partners (≥$10k)</t>
  </si>
  <si>
    <t>See Partner Churches tab</t>
  </si>
  <si>
    <t xml:space="preserve">      40500 Supporters (Mainly individuals)</t>
  </si>
  <si>
    <t xml:space="preserve">   41000 Regional Summits Revenue</t>
  </si>
  <si>
    <t>Assumes 3 regional summits (Jun, Aug, Oct)</t>
  </si>
  <si>
    <r>
      <t xml:space="preserve">   </t>
    </r>
    <r>
      <rPr>
        <sz val="9"/>
        <color rgb="FF000000"/>
        <rFont val="Arial"/>
        <family val="2"/>
      </rPr>
      <t xml:space="preserve">   41200 Sponsorships/Grants</t>
    </r>
  </si>
  <si>
    <t xml:space="preserve">   Total 41000 Regional Summits Revenue</t>
  </si>
  <si>
    <t xml:space="preserve">      46430 Outside Travel Reimbursements</t>
  </si>
  <si>
    <t xml:space="preserve">      46500 Interest Income</t>
  </si>
  <si>
    <t xml:space="preserve">      46520 Capital Gains/Losses</t>
  </si>
  <si>
    <t xml:space="preserve">      47150 Book Sales</t>
  </si>
  <si>
    <t xml:space="preserve">      47200 District Contracts</t>
  </si>
  <si>
    <t xml:space="preserve">           47210 Florida Contract</t>
  </si>
  <si>
    <t xml:space="preserve">           47230  Other Contract</t>
  </si>
  <si>
    <t xml:space="preserve">           47250 Atlantic District Contract</t>
  </si>
  <si>
    <t xml:space="preserve">                 Coaching</t>
  </si>
  <si>
    <t xml:space="preserve">                 StartNew Assessments</t>
  </si>
  <si>
    <t xml:space="preserve">                 StartNew Access</t>
  </si>
  <si>
    <t xml:space="preserve">                 StartNew Advanced</t>
  </si>
  <si>
    <t xml:space="preserve">                 StartNew Accelerator</t>
  </si>
  <si>
    <t xml:space="preserve">                 Scholarships Awarded</t>
  </si>
  <si>
    <t xml:space="preserve">                 Frontline Fund Disbursements</t>
  </si>
  <si>
    <t xml:space="preserve">           47350 Congregation Consulting</t>
  </si>
  <si>
    <t xml:space="preserve">      47400 Membership Fees</t>
  </si>
  <si>
    <t xml:space="preserve">   49900 Unapplied Cash Payment Income</t>
  </si>
  <si>
    <t xml:space="preserve">   52000 FINANCE &amp; ADMINISTRATION</t>
  </si>
  <si>
    <t xml:space="preserve">      52050 3rd Party Software</t>
  </si>
  <si>
    <t xml:space="preserve">      52200 Legal &amp; Accounting Fees</t>
  </si>
  <si>
    <t xml:space="preserve">      52300 Cell Phone</t>
  </si>
  <si>
    <t xml:space="preserve">      52400 Insurance</t>
  </si>
  <si>
    <t xml:space="preserve">      52600 Office Supplies &amp; Equipment</t>
  </si>
  <si>
    <t xml:space="preserve">      52700 Donor Development </t>
  </si>
  <si>
    <t xml:space="preserve">      52800 BOD Expenses</t>
  </si>
  <si>
    <t xml:space="preserve">   Total 52000 FINANCE &amp; ADMINISTRATION</t>
  </si>
  <si>
    <t xml:space="preserve">   53000 ENGAGEMENT</t>
  </si>
  <si>
    <t xml:space="preserve">      53100 Creative/Marketing/Advertising</t>
  </si>
  <si>
    <t>General Marketing Consulting</t>
  </si>
  <si>
    <t>Top 5</t>
  </si>
  <si>
    <t>Creative Services</t>
  </si>
  <si>
    <t>webinar campaigns</t>
  </si>
  <si>
    <t>Social media (ad cost &amp; mngmt)</t>
  </si>
  <si>
    <t>Google Grant ads &amp; management</t>
  </si>
  <si>
    <t xml:space="preserve">Feathr license and implementation </t>
  </si>
  <si>
    <t>Feathr design services</t>
  </si>
  <si>
    <t>Podcast</t>
  </si>
  <si>
    <t>SEO</t>
  </si>
  <si>
    <t xml:space="preserve">      53200 Website Maintenance</t>
  </si>
  <si>
    <t xml:space="preserve">      53250 Printing/postage (incls development)</t>
  </si>
  <si>
    <t xml:space="preserve">      53300 Client Retreats</t>
  </si>
  <si>
    <t xml:space="preserve">      53350 Staff retreat</t>
  </si>
  <si>
    <t xml:space="preserve">   Total 53000 ENGAGEMENT</t>
  </si>
  <si>
    <t xml:space="preserve">   54000 CONFERENCE &amp; WORKSHOPS</t>
  </si>
  <si>
    <t xml:space="preserve">   Total 54000 CONFERENCE &amp; WORKSHOPS</t>
  </si>
  <si>
    <t xml:space="preserve">   55000 LOCALS</t>
  </si>
  <si>
    <t xml:space="preserve">      55100 Curriculum Production </t>
  </si>
  <si>
    <t xml:space="preserve">      55200 Catalyst Development</t>
  </si>
  <si>
    <t xml:space="preserve">   Total 55000 LOCALS</t>
  </si>
  <si>
    <t xml:space="preserve">    56000 STARTNEW</t>
  </si>
  <si>
    <t xml:space="preserve">        56100 Assessments (Training &amp; Units)</t>
  </si>
  <si>
    <t xml:space="preserve">        56200 Coaches Fees</t>
  </si>
  <si>
    <t xml:space="preserve">        56250 CoachNet - Coach Training</t>
  </si>
  <si>
    <t xml:space="preserve">        56300 Facilitators</t>
  </si>
  <si>
    <t xml:space="preserve">        56350 Facilitator Training</t>
  </si>
  <si>
    <t xml:space="preserve">        56400 StartNewTraining.com Expenses</t>
  </si>
  <si>
    <t xml:space="preserve">        56500 Curriculum Fees</t>
  </si>
  <si>
    <t xml:space="preserve">        56600 Accelerator Bootcamps</t>
  </si>
  <si>
    <t xml:space="preserve">              56510  Honorariums</t>
  </si>
  <si>
    <t xml:space="preserve">              56520 Trainer Fee</t>
  </si>
  <si>
    <t xml:space="preserve">              56530 Travel &amp; Hotel</t>
  </si>
  <si>
    <t xml:space="preserve">              56540 Materials</t>
  </si>
  <si>
    <t xml:space="preserve">              56550 Food</t>
  </si>
  <si>
    <t xml:space="preserve">              56560 Facilities</t>
  </si>
  <si>
    <t>56570 Tech Support</t>
  </si>
  <si>
    <t>Materials</t>
  </si>
  <si>
    <t>New Product Development</t>
  </si>
  <si>
    <t>Payment Processing</t>
  </si>
  <si>
    <t xml:space="preserve">   57000  CONSULTING</t>
  </si>
  <si>
    <t xml:space="preserve">            57100 Consulting expenses</t>
  </si>
  <si>
    <t xml:space="preserve">   Total 55000 DISTRICT CONSULTING</t>
  </si>
  <si>
    <t>66000 Human Resources Expenses</t>
  </si>
  <si>
    <t xml:space="preserve">      66100 Bethany Reimbursement</t>
  </si>
  <si>
    <t xml:space="preserve">      66200 Staff</t>
  </si>
  <si>
    <t>VP Admin &amp; General Counsel</t>
  </si>
  <si>
    <t>SN Director</t>
  </si>
  <si>
    <t>Digital Strategy</t>
  </si>
  <si>
    <t>Soc Media &amp; Tech Coord</t>
  </si>
  <si>
    <t>Coaching Coordinator</t>
  </si>
  <si>
    <t>SN Coordinator</t>
  </si>
  <si>
    <t>Donor Development</t>
  </si>
  <si>
    <t>Admin</t>
  </si>
  <si>
    <t>Network Development</t>
  </si>
  <si>
    <t xml:space="preserve">      66300 Payroll Taxes</t>
  </si>
  <si>
    <t xml:space="preserve">      66400 Salary &amp; Wages</t>
  </si>
  <si>
    <t xml:space="preserve">      66500 Recruiting Expenses</t>
  </si>
  <si>
    <t xml:space="preserve">      66600 Benefits</t>
  </si>
  <si>
    <t xml:space="preserve">   Total 66000 Human Resources Expenses</t>
  </si>
  <si>
    <t>Beginning Of Month Available Cash</t>
  </si>
  <si>
    <t>Forecasted End Of Month Available Cash</t>
  </si>
  <si>
    <t>EOM Available Cash forecasted at beginning of FY 2021</t>
  </si>
  <si>
    <t>INCOME</t>
  </si>
  <si>
    <t>Target SN Access Sales Volume = 20,000 units; forecast assumes 1000 units sold in January with 5% monthly increase through year for total of 19,536 units.</t>
  </si>
  <si>
    <t>3% of SN Gross Revenue</t>
  </si>
  <si>
    <t>EXPENSES</t>
  </si>
  <si>
    <t xml:space="preserve">   56570 Tech Support</t>
  </si>
  <si>
    <t xml:space="preserve">   Total 57000 CONSULTING</t>
  </si>
  <si>
    <t>NET INCOME</t>
  </si>
  <si>
    <t>CASH POSITION</t>
  </si>
  <si>
    <t>All regional summits net zero</t>
  </si>
  <si>
    <t>75% Target SN Access Sales Volume = 15,000 units; forecast assumes 750 units sold in January with 5% monthly increase through year for total of 14,653units.</t>
  </si>
  <si>
    <t>100% Target Budget</t>
  </si>
  <si>
    <t>Delta to 100% Target</t>
  </si>
  <si>
    <t>50% Target SN Access Sales Volume = 10,000 units; forecast assumes 500 units sold in January with 5% monthly increase through year for total of 9771 units.</t>
  </si>
  <si>
    <t>Assumes only 1 Accelerator in 2021</t>
  </si>
  <si>
    <t>Reduced Jan - Jun $2k per month</t>
  </si>
  <si>
    <t>Reduced first six months by $2k for Q1 and $1k for Q2.</t>
  </si>
  <si>
    <t xml:space="preserve">   </t>
  </si>
  <si>
    <t>Reduced travel $1k each month in Q1</t>
  </si>
  <si>
    <t>Total 54000 CONFERENCE &amp; WORKSHOPS</t>
  </si>
  <si>
    <t>Reduced $1k first half of year (assumes no benefits)</t>
  </si>
  <si>
    <t>Assumed position not filled until Jul</t>
  </si>
  <si>
    <t>Delta to 100% Target Budget</t>
  </si>
  <si>
    <t>Reduced coaching purchases based on 25% level of SN participation</t>
  </si>
  <si>
    <t>Reduced assessment purchases based on 25% level of SN participation</t>
  </si>
  <si>
    <t>50 sales starting Feb; 20% increase month over month</t>
  </si>
  <si>
    <t xml:space="preserve">                 StartNew Accelerator (Legacy)</t>
  </si>
  <si>
    <t>Assumes only one Accelerator in 2021</t>
  </si>
  <si>
    <t>Removed membership platform expense</t>
  </si>
  <si>
    <t>Reduced first half of year by $3k / mo</t>
  </si>
  <si>
    <t xml:space="preserve">                 Creative Services</t>
  </si>
  <si>
    <t>Eliminated this expense for first half of 2021</t>
  </si>
  <si>
    <t xml:space="preserve">                 Advertising</t>
  </si>
  <si>
    <t xml:space="preserve">                 Digital Ad Cost</t>
  </si>
  <si>
    <t>Reduced expense $500/mo for first half of 2021</t>
  </si>
  <si>
    <t xml:space="preserve">                 Feathr license and implementation </t>
  </si>
  <si>
    <t xml:space="preserve">                 Digital Sales expertise</t>
  </si>
  <si>
    <t>Reduced Jan by $7000 (minimizing fivetwo.com overhaul) and then remainder of first half of year by $500/ mo)</t>
  </si>
  <si>
    <t>Reduced travel expenses first 9 months of 2021</t>
  </si>
  <si>
    <t>Reduced salary by $5k / mo for first 1/2 of year</t>
  </si>
  <si>
    <t>SN Coordinator/Virtuous</t>
  </si>
  <si>
    <t>Sales Help</t>
  </si>
  <si>
    <t>Assumes paid position not filled until June.</t>
  </si>
  <si>
    <t>Ful</t>
  </si>
  <si>
    <t>Additional SN Access sales needed to maintain cash reserves of:</t>
  </si>
  <si>
    <t xml:space="preserve">                 SEO</t>
  </si>
  <si>
    <t>Reduced salary by $24k for year with ramp-up by October to target level</t>
  </si>
  <si>
    <t>Reduced salary by $18k for year with ramp-up by October to target level</t>
  </si>
  <si>
    <t>Assumes position not filled until October.</t>
  </si>
  <si>
    <t>Core Question: how much should we allocate to marketing?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</si>
  <si>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</si>
  <si>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</si>
  <si>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</si>
  <si>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</si>
  <si>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</si>
  <si>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</si>
  <si>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</si>
  <si>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</si>
  <si>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</si>
  <si>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</si>
  <si>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</si>
  <si>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</si>
  <si>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</si>
  <si>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Growth</t>
  </si>
  <si>
    <t>Budget Balance</t>
  </si>
  <si>
    <t>Access Units Sold</t>
  </si>
  <si>
    <t>20% monthly</t>
  </si>
  <si>
    <t>Advanced Units Sold</t>
  </si>
  <si>
    <t>Sales &amp; Marketing</t>
  </si>
  <si>
    <t>10% monthly</t>
  </si>
  <si>
    <t>$750000 of donor income would give us approximately $120k of leeway to miss in our projections.</t>
  </si>
  <si>
    <t>Message</t>
  </si>
  <si>
    <t>Access sales increase from 50/mo to 310/mo by eoy  -  20% growth</t>
  </si>
  <si>
    <t>Advanced sales increase from 3/mo to 10/mo by eoy</t>
  </si>
  <si>
    <t>Marketing &amp; sales costs of $353,100</t>
  </si>
  <si>
    <t>Budget deficit of $561k</t>
  </si>
  <si>
    <t>Access sales increase from 310/mo to 884/mo by eoy  -  10% growth</t>
  </si>
  <si>
    <t>Advanced sales remain steady at 10/mo</t>
  </si>
  <si>
    <t>Budget deficit of $68,000</t>
  </si>
  <si>
    <t xml:space="preserve">                 Sales Help</t>
  </si>
  <si>
    <t xml:space="preserve">      53250 Printing/postage/misc supplies</t>
  </si>
  <si>
    <t>56620 Digital Platform</t>
  </si>
  <si>
    <t>Payroll Worksheet</t>
  </si>
  <si>
    <t>Monthly Avg</t>
  </si>
  <si>
    <t>Total 2018</t>
  </si>
  <si>
    <t>Total 2020</t>
  </si>
  <si>
    <t>Payroll Reimbursements</t>
  </si>
  <si>
    <t>Bill Woolsey</t>
  </si>
  <si>
    <t>Total Reimbursements</t>
  </si>
  <si>
    <t>Contract Staff</t>
  </si>
  <si>
    <t>Rate</t>
  </si>
  <si>
    <t>Abigail Taylor</t>
  </si>
  <si>
    <t>20hr/wk thru april; 10hr after</t>
  </si>
  <si>
    <t>$26/hr</t>
  </si>
  <si>
    <t>Scott Roney</t>
  </si>
  <si>
    <t>annual</t>
  </si>
  <si>
    <t>StartNew Coord. (Belay)</t>
  </si>
  <si>
    <t>20hr/wk; $33/hr</t>
  </si>
  <si>
    <t>Abigail Taylor (Dig Strat Dir)</t>
  </si>
  <si>
    <t>hour</t>
  </si>
  <si>
    <t>StartNew Coord.</t>
  </si>
  <si>
    <t>40 hrs/wk</t>
  </si>
  <si>
    <t>Julie Judman (MarComm/Dev. Coord)</t>
  </si>
  <si>
    <t>Assistant</t>
  </si>
  <si>
    <t>20 hrs/wk</t>
  </si>
  <si>
    <t>Vern Bock (Coach Coord)</t>
  </si>
  <si>
    <t>month</t>
  </si>
  <si>
    <t>Data?</t>
  </si>
  <si>
    <t>Addison Flournoy (SN Coord)</t>
  </si>
  <si>
    <t>Social Media</t>
  </si>
  <si>
    <t>10 hrs/wk</t>
  </si>
  <si>
    <t>Champman Sch. (Social Media)</t>
  </si>
  <si>
    <t>Vern Bock</t>
  </si>
  <si>
    <t>Michael Nowicki (SN Dir)</t>
  </si>
  <si>
    <t>Jeff Moss</t>
  </si>
  <si>
    <t>Randy Miller (SN Sales)</t>
  </si>
  <si>
    <t xml:space="preserve">annual </t>
  </si>
  <si>
    <t>Total Contract Staff</t>
  </si>
  <si>
    <t>Employee Salary &amp; Wages</t>
  </si>
  <si>
    <t>Dana Bahn</t>
  </si>
  <si>
    <t>$35k salary</t>
  </si>
  <si>
    <t>Total Salary &amp; Wages</t>
  </si>
  <si>
    <t>Payroll Taxes</t>
  </si>
  <si>
    <t>66000 Total Payroll Expense</t>
  </si>
  <si>
    <t>2020 rate</t>
  </si>
  <si>
    <t>monthly</t>
  </si>
  <si>
    <t>abigail</t>
  </si>
  <si>
    <t>renee</t>
  </si>
  <si>
    <t>vern</t>
  </si>
  <si>
    <t>donor</t>
  </si>
  <si>
    <t>vp</t>
  </si>
  <si>
    <t>Monthly Fee (up to 5 users)</t>
  </si>
  <si>
    <t>Monthly Fee after year 1</t>
  </si>
  <si>
    <t>Annual  Revenue</t>
  </si>
  <si>
    <t>Monthly Adds.</t>
  </si>
  <si>
    <t>StartNew Access (tier 1)</t>
  </si>
  <si>
    <t># SN Access</t>
  </si>
  <si>
    <t>StartNew Advanced (tier 2)</t>
  </si>
  <si>
    <t>#SN Virtual</t>
  </si>
  <si>
    <t>StartNew Accelerator (tier 3)</t>
  </si>
  <si>
    <t>#SN Subscrip</t>
  </si>
  <si>
    <t>Coach (optional, per month)</t>
  </si>
  <si>
    <t>Revenue</t>
  </si>
  <si>
    <t>Assessment (incl for team leader)</t>
  </si>
  <si>
    <t>Unit Costs</t>
  </si>
  <si>
    <t>Fixed Costs</t>
  </si>
  <si>
    <t>COSTS</t>
  </si>
  <si>
    <t>Net</t>
  </si>
  <si>
    <t xml:space="preserve">One-time costs </t>
  </si>
  <si>
    <t>Assessment</t>
  </si>
  <si>
    <t>Coach</t>
  </si>
  <si>
    <t>Printed materials per person</t>
  </si>
  <si>
    <t>SN Access Unit Costs</t>
  </si>
  <si>
    <t>Event food</t>
  </si>
  <si>
    <t>SN Virtual Unit Costs</t>
  </si>
  <si>
    <t>Event hotel &amp; travel</t>
  </si>
  <si>
    <t>SN Live Unit Costs</t>
  </si>
  <si>
    <t>Honorariums</t>
  </si>
  <si>
    <t>1-99 teams</t>
  </si>
  <si>
    <t>100+ teams</t>
  </si>
  <si>
    <t>Fixed Monthly Costs</t>
  </si>
  <si>
    <t>Trainers / Facilitators</t>
  </si>
  <si>
    <t xml:space="preserve">Site maintenance </t>
  </si>
  <si>
    <t>StartNew coordinator</t>
  </si>
  <si>
    <t>Support (100 teams+)</t>
  </si>
  <si>
    <t>Subtotal</t>
  </si>
  <si>
    <t>Thought: Include 1 team access for every partner congregation</t>
  </si>
  <si>
    <t>Change items here</t>
  </si>
  <si>
    <t>Conference Attendees</t>
  </si>
  <si>
    <t>Assessment charge</t>
  </si>
  <si>
    <t>Monthly access charge</t>
  </si>
  <si>
    <t>Our assessment fee</t>
  </si>
  <si>
    <t>Our coach payment</t>
  </si>
  <si>
    <t>Our trainer payment</t>
  </si>
  <si>
    <t>Team (Up to 4 licenses)</t>
  </si>
  <si>
    <t>Monthly Fee</t>
  </si>
  <si>
    <t>Monthly fee after year 1</t>
  </si>
  <si>
    <t>First month (4-person access)</t>
  </si>
  <si>
    <t># teams</t>
  </si>
  <si>
    <t>All-access (training &amp; open office)</t>
  </si>
  <si>
    <t>Costs</t>
  </si>
  <si>
    <t>Assessment (optional, per person)</t>
  </si>
  <si>
    <t>One-time Individual</t>
  </si>
  <si>
    <t xml:space="preserve">Coach (optional) </t>
  </si>
  <si>
    <t>1-49 teams</t>
  </si>
  <si>
    <t>50-99 teams</t>
  </si>
  <si>
    <t>100+teams</t>
  </si>
  <si>
    <t>Conference attendees</t>
  </si>
  <si>
    <t>Monthly charge</t>
  </si>
  <si>
    <t>2018 Forecast</t>
  </si>
  <si>
    <t>Actual</t>
  </si>
  <si>
    <t>ACTUAL</t>
  </si>
  <si>
    <t>2017 Assumptions</t>
  </si>
  <si>
    <t>2018 Annual Actuals</t>
  </si>
  <si>
    <t>2018 Approved Budget</t>
  </si>
  <si>
    <t>2018 Delta</t>
  </si>
  <si>
    <t>2018 Forecasted Delta</t>
  </si>
  <si>
    <t>2018 Delta 
over 2017</t>
  </si>
  <si>
    <t>Percentage Change</t>
  </si>
  <si>
    <t>2018 Assumptions</t>
  </si>
  <si>
    <t>2019 Annual Forecast</t>
  </si>
  <si>
    <t>2018 Actuals</t>
  </si>
  <si>
    <t>Items in yellow have some risk.</t>
  </si>
  <si>
    <t>FiveTwo Day Scholarship Drive</t>
  </si>
  <si>
    <t>Items in red are new to budget.</t>
  </si>
  <si>
    <t>Annual Kraft gift</t>
  </si>
  <si>
    <t xml:space="preserve">      40400 Partners (Congregations at ≥$10k)</t>
  </si>
  <si>
    <t>Immanuel Macomb added</t>
  </si>
  <si>
    <t>10% increase + three $5k dinners</t>
  </si>
  <si>
    <t>10% inc. vs 2018 actuals (was 7% 2018 over 2017)</t>
  </si>
  <si>
    <t>Any workshops we do will be at least net zero.</t>
  </si>
  <si>
    <t>Craig to write another devotional</t>
  </si>
  <si>
    <t>Florida/Georgia continues</t>
  </si>
  <si>
    <t>Atlantic District in March; rolls into 3 yr.</t>
  </si>
  <si>
    <t>27 new teams in StartNew</t>
  </si>
  <si>
    <t>Migrating to new donor crm</t>
  </si>
  <si>
    <t xml:space="preserve">      52500 Travel Expenses</t>
  </si>
  <si>
    <t xml:space="preserve">      52600 Business Expenses</t>
  </si>
  <si>
    <t>District Presidents ?/Partner Churches? Retreats</t>
  </si>
  <si>
    <t>2 client retreats at Woolseys</t>
  </si>
  <si>
    <t>Staff retreat</t>
  </si>
  <si>
    <t>2 staff retreats at Woolseys</t>
  </si>
  <si>
    <t>BOD retreat at Woolseys</t>
  </si>
  <si>
    <t xml:space="preserve">   53000 DIGITAL</t>
  </si>
  <si>
    <t xml:space="preserve">      53100 Creative &amp; Advertising</t>
  </si>
  <si>
    <t>content creation &amp; digital marketing</t>
  </si>
  <si>
    <t xml:space="preserve">      53200 Web design overhaul/maintenance</t>
  </si>
  <si>
    <t>website to include job board</t>
  </si>
  <si>
    <t>monthly consultant; 4 donor dinners at $3k/each</t>
  </si>
  <si>
    <t xml:space="preserve">      53500 Printing/postage (incls development)</t>
  </si>
  <si>
    <t xml:space="preserve">   Total 53000 DIGITAL</t>
  </si>
  <si>
    <t xml:space="preserve">   54000 O2 REGIONALS EXPENSE</t>
  </si>
  <si>
    <t>Costs for regional events &amp; Exponential</t>
  </si>
  <si>
    <t>Costs for regional events</t>
  </si>
  <si>
    <t>No catalyst retreat.</t>
  </si>
  <si>
    <t>0</t>
  </si>
  <si>
    <t xml:space="preserve">        56200 Contract Coaches &amp; Assessors</t>
  </si>
  <si>
    <t xml:space="preserve">        56300 CoachNet - Coach Training</t>
  </si>
  <si>
    <t xml:space="preserve">        56500 3Days &amp; 1Days</t>
  </si>
  <si>
    <t xml:space="preserve">              56520 Thrivent  - Trainer Fee</t>
  </si>
  <si>
    <t xml:space="preserve">   57000 DISTRICT CONTRACT EXPENSES</t>
  </si>
  <si>
    <t xml:space="preserve">      57100 Florida Expenses</t>
  </si>
  <si>
    <t>57150 Miami Expenses</t>
  </si>
  <si>
    <t xml:space="preserve">      57200 Other District Expenses</t>
  </si>
  <si>
    <t xml:space="preserve">      57400 Atlantic Expenses</t>
  </si>
  <si>
    <t>increase</t>
  </si>
  <si>
    <t xml:space="preserve">      66200 Contract Staff</t>
  </si>
  <si>
    <t>No Marcomm contract or graphics, but Abigail here.</t>
  </si>
  <si>
    <t>5% raises &amp; moved Dana to salary @$35k</t>
  </si>
  <si>
    <t>Beginning Available Cash</t>
  </si>
  <si>
    <t>Forecasted Available Cash</t>
  </si>
  <si>
    <t>Available cash forecasted at beginning of FY</t>
  </si>
  <si>
    <t>Actual Cash Balance</t>
  </si>
  <si>
    <t>Additional income needed</t>
  </si>
  <si>
    <t>Revised available cash (goal of $60k)</t>
  </si>
  <si>
    <t>Name</t>
  </si>
  <si>
    <t>Amount</t>
  </si>
  <si>
    <t>Contact</t>
  </si>
  <si>
    <t>Frequency</t>
  </si>
  <si>
    <t>King of Kings</t>
  </si>
  <si>
    <t>Greg Griffith</t>
  </si>
  <si>
    <t>Annual - April</t>
  </si>
  <si>
    <t>Trinity - Lisle</t>
  </si>
  <si>
    <t>Mark Schultz</t>
  </si>
  <si>
    <t>Annual - Jan/Jun installments)</t>
  </si>
  <si>
    <t>Our Savior - McKinney</t>
  </si>
  <si>
    <t>Tim Radkey</t>
  </si>
  <si>
    <t>Annual - Sep</t>
  </si>
  <si>
    <t>Bethany - Austin</t>
  </si>
  <si>
    <t>Bill Knippa</t>
  </si>
  <si>
    <t>Monthly</t>
  </si>
  <si>
    <t>Summit - Buckeye</t>
  </si>
  <si>
    <t>Nate Schaus</t>
  </si>
  <si>
    <t>Quarterly</t>
  </si>
  <si>
    <t>Gloria Dei - Houston</t>
  </si>
  <si>
    <t>Dan Schepmann</t>
  </si>
  <si>
    <t>September</t>
  </si>
  <si>
    <t>St. Paul - Trenton</t>
  </si>
  <si>
    <t>Rick Blythe</t>
  </si>
  <si>
    <t>$2k min May</t>
  </si>
  <si>
    <t>Salem - Tomball</t>
  </si>
  <si>
    <t>Tim Niekirk</t>
  </si>
  <si>
    <t>St. Paul - Napoleon, OH</t>
  </si>
  <si>
    <t>Pete Marcis</t>
  </si>
  <si>
    <t>people</t>
  </si>
  <si>
    <t>days</t>
  </si>
  <si>
    <t>TOTAL</t>
  </si>
  <si>
    <t>golf</t>
  </si>
  <si>
    <t>spa</t>
  </si>
  <si>
    <t>food per day</t>
  </si>
  <si>
    <t>alcohol per day</t>
  </si>
  <si>
    <t>Staff Roles</t>
  </si>
  <si>
    <t>Finances</t>
  </si>
  <si>
    <t>Donor</t>
  </si>
  <si>
    <t>Digital Sales &amp; Marketing</t>
  </si>
  <si>
    <t>Data</t>
  </si>
  <si>
    <t>Districts</t>
  </si>
  <si>
    <t>StartNew</t>
  </si>
  <si>
    <t>Nat Conference</t>
  </si>
  <si>
    <t>Payroll</t>
  </si>
  <si>
    <t>Monthly email</t>
  </si>
  <si>
    <t>Website</t>
  </si>
  <si>
    <t>Virtuous mngmnt</t>
  </si>
  <si>
    <t>Coordinate comm</t>
  </si>
  <si>
    <t>Post-zoom sales</t>
  </si>
  <si>
    <t>Total oversight</t>
  </si>
  <si>
    <t xml:space="preserve">A/R </t>
  </si>
  <si>
    <t>Donor dinners</t>
  </si>
  <si>
    <t>Resource creation</t>
  </si>
  <si>
    <t>Accurate &amp; current</t>
  </si>
  <si>
    <t>Cohort oversight</t>
  </si>
  <si>
    <t>Event coord</t>
  </si>
  <si>
    <t>Schedule</t>
  </si>
  <si>
    <t>A/P</t>
  </si>
  <si>
    <t>Thank yous</t>
  </si>
  <si>
    <t>Digital campaigns</t>
  </si>
  <si>
    <t>Annual IRS stmnts</t>
  </si>
  <si>
    <t>SN Team comm</t>
  </si>
  <si>
    <t>Speakers</t>
  </si>
  <si>
    <t>Virtuous use</t>
  </si>
  <si>
    <t>All-network</t>
  </si>
  <si>
    <t>Reports</t>
  </si>
  <si>
    <t>Sponsorships</t>
  </si>
  <si>
    <t>Coordinate BRW</t>
  </si>
  <si>
    <t>District-oriented</t>
  </si>
  <si>
    <t>Phone</t>
  </si>
  <si>
    <t>Pre-zoom sales</t>
  </si>
  <si>
    <t>Software mngmnt</t>
  </si>
  <si>
    <t>Bi-weekly Top 5</t>
  </si>
  <si>
    <t>URL ownership</t>
  </si>
  <si>
    <t>Oversee graphic</t>
  </si>
  <si>
    <t>Brochure production</t>
  </si>
  <si>
    <t>2017 Forecast Compared with Prior Year Actuals</t>
  </si>
  <si>
    <t>2017 Forecast</t>
  </si>
  <si>
    <t>2016 Actual</t>
  </si>
  <si>
    <t>2015 Actual</t>
  </si>
  <si>
    <t xml:space="preserve">      40200 Grants- Unrestricted</t>
  </si>
  <si>
    <t xml:space="preserve">         47210 Florida-Georgia</t>
  </si>
  <si>
    <t xml:space="preserve">         47230 Michigan /Other Contract</t>
  </si>
  <si>
    <t xml:space="preserve">         47250 New Jersey Contract</t>
  </si>
  <si>
    <t xml:space="preserve">      Total 47200 District Contracts</t>
  </si>
  <si>
    <t xml:space="preserve">      52050 Third Party Software</t>
  </si>
  <si>
    <t xml:space="preserve">      Rent to CrossPoint (deleted)</t>
  </si>
  <si>
    <t xml:space="preserve">   53000 Digital</t>
  </si>
  <si>
    <t xml:space="preserve">      53500 Printing/postage/ Misc Supplies</t>
  </si>
  <si>
    <t xml:space="preserve">   Total 53000 Digital</t>
  </si>
  <si>
    <t xml:space="preserve">   54000 Conference Expense</t>
  </si>
  <si>
    <t xml:space="preserve">   Total 54000 Conference Expense</t>
  </si>
  <si>
    <t xml:space="preserve">   55000 Locals</t>
  </si>
  <si>
    <t xml:space="preserve">      55100 Curriculum</t>
  </si>
  <si>
    <t xml:space="preserve">   Total 55000 Locals</t>
  </si>
  <si>
    <t xml:space="preserve">   56000 StartNew</t>
  </si>
  <si>
    <t xml:space="preserve">   Total 56000 StartNew</t>
  </si>
  <si>
    <t xml:space="preserve">      57200 Michigan Expenses</t>
  </si>
  <si>
    <t xml:space="preserve">      57300 New Jersey Expenses</t>
  </si>
  <si>
    <r>
      <t xml:space="preserve">     </t>
    </r>
    <r>
      <rPr>
        <sz val="8"/>
        <color indexed="8"/>
        <rFont val="Arial"/>
        <family val="2"/>
      </rPr>
      <t xml:space="preserve"> 66100 Crosspoint Reimbursement</t>
    </r>
  </si>
  <si>
    <t xml:space="preserve">      Outside Contract Services (deleted)</t>
  </si>
  <si>
    <t>Cash Basis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</si>
  <si>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</si>
  <si>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</si>
  <si>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</si>
  <si>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</si>
  <si>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</si>
  <si>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</si>
  <si>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</si>
  <si>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</si>
  <si>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</si>
  <si>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</si>
  <si>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</si>
  <si>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</si>
  <si>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1 Sub</t>
  </si>
  <si>
    <t>Assessments</t>
  </si>
  <si>
    <t>Monthly Subscriptions</t>
  </si>
  <si>
    <t>SUBTOTAL</t>
  </si>
  <si>
    <t>Harrisons</t>
  </si>
  <si>
    <t>Harrison Training</t>
  </si>
  <si>
    <t>Assessor Fees</t>
  </si>
  <si>
    <t>3Day</t>
  </si>
  <si>
    <t>DETROIT</t>
  </si>
  <si>
    <t>PHOENIX</t>
  </si>
  <si>
    <t>ORLANDO</t>
  </si>
  <si>
    <t>DETROIT &amp; NYC</t>
  </si>
  <si>
    <t>PHOENIX &amp; NYC</t>
  </si>
  <si>
    <t>Transportation</t>
  </si>
  <si>
    <t>Hotel Rooms</t>
  </si>
  <si>
    <t>Food</t>
  </si>
  <si>
    <t>Coaches</t>
  </si>
  <si>
    <t>Training</t>
  </si>
  <si>
    <t>1Day</t>
  </si>
  <si>
    <t>Trainers</t>
  </si>
  <si>
    <t>MONTHLY P&amp;L</t>
  </si>
  <si>
    <t>YTD P&amp;L</t>
  </si>
  <si>
    <t>ASSUMPTIONS</t>
  </si>
  <si>
    <t>Teams</t>
  </si>
  <si>
    <t>Individuals being assessed</t>
  </si>
  <si>
    <t># Full Price Assessments</t>
  </si>
  <si>
    <t>Assessment Fee</t>
  </si>
  <si>
    <t># AD Assessments</t>
  </si>
  <si>
    <t>AD Assessment Fee</t>
  </si>
  <si>
    <t>$249.50 AD Teams</t>
  </si>
  <si>
    <t>$352 Teams</t>
  </si>
  <si>
    <t># Teams currently in SN</t>
  </si>
  <si>
    <t>$499 Teams</t>
  </si>
  <si>
    <t># Teams entering SN</t>
  </si>
  <si>
    <t># $499 teams starting</t>
  </si>
  <si>
    <t># $249.50 teams starting</t>
  </si>
  <si>
    <t>Total Teams in Incubator</t>
  </si>
  <si>
    <t xml:space="preserve">Monthly Subscrip Fee </t>
  </si>
  <si>
    <t>Standard fee</t>
  </si>
  <si>
    <t>Harrison Cost to FiveTwo</t>
  </si>
  <si>
    <t>Assessors - Paid</t>
  </si>
  <si>
    <t>Assessor Fee</t>
  </si>
  <si>
    <t>Hotel/night/person</t>
  </si>
  <si>
    <t>Food/day/person</t>
  </si>
  <si>
    <t>FiveTwo Staff</t>
  </si>
  <si>
    <t>Local Presenters</t>
  </si>
  <si>
    <t>Local Presenters honorarium</t>
  </si>
  <si>
    <t># of days/nights</t>
  </si>
  <si>
    <t>Materials/person</t>
  </si>
  <si>
    <t>Habit of Asking Royalty</t>
  </si>
  <si>
    <t>Food/person</t>
  </si>
  <si>
    <t>Coaches (= # of teams)</t>
  </si>
  <si>
    <t>Coach monthly fee</t>
  </si>
  <si>
    <t>Local Trainers</t>
  </si>
  <si>
    <t>Trainer honorarium</t>
  </si>
  <si>
    <t>Charge</t>
  </si>
  <si>
    <t>Monthly Fee Equivalent</t>
  </si>
  <si>
    <t>Savings</t>
  </si>
  <si>
    <t>Discount</t>
  </si>
  <si>
    <t>PROFIT</t>
  </si>
  <si>
    <t>Coach pymnt</t>
  </si>
  <si>
    <t>1 session</t>
  </si>
  <si>
    <t>3 sessions</t>
  </si>
  <si>
    <t>6 sessions</t>
  </si>
  <si>
    <t>12 sessions</t>
  </si>
  <si>
    <t>session charge options</t>
  </si>
  <si>
    <t>year 1</t>
  </si>
  <si>
    <t>year 2</t>
  </si>
  <si>
    <t>prepaid</t>
  </si>
  <si>
    <t>grad</t>
  </si>
  <si>
    <t>Position</t>
  </si>
  <si>
    <t>Who</t>
  </si>
  <si>
    <t>Current</t>
  </si>
  <si>
    <t>New</t>
  </si>
  <si>
    <t>CEO</t>
  </si>
  <si>
    <t>Bill</t>
  </si>
  <si>
    <t>Oscar</t>
  </si>
  <si>
    <t>Development</t>
  </si>
  <si>
    <t>Kyle?</t>
  </si>
  <si>
    <t>Amy? Randy?</t>
  </si>
  <si>
    <t>COO</t>
  </si>
  <si>
    <t>Scott?</t>
  </si>
  <si>
    <t>Sub</t>
  </si>
  <si>
    <t>Data/Admin</t>
  </si>
  <si>
    <t>Dana</t>
  </si>
  <si>
    <t>Jennifer</t>
  </si>
  <si>
    <t>Branding</t>
  </si>
  <si>
    <t>Abigail</t>
  </si>
  <si>
    <t>Vern</t>
  </si>
  <si>
    <t>Comm</t>
  </si>
  <si>
    <t>College</t>
  </si>
  <si>
    <t>Graphics</t>
  </si>
  <si>
    <t>Jeff</t>
  </si>
  <si>
    <t>Bookeeping</t>
  </si>
  <si>
    <t>Mifflin</t>
  </si>
  <si>
    <t>Travel</t>
  </si>
  <si>
    <t>Digital</t>
  </si>
  <si>
    <t>Extras</t>
  </si>
  <si>
    <t>Annual need</t>
  </si>
  <si>
    <t>3 years funding</t>
  </si>
  <si>
    <t>How fund?</t>
  </si>
  <si>
    <t>5 donors, $100k a year for 3 years</t>
  </si>
  <si>
    <t xml:space="preserve">            57400 Atlantic Dist. Reimbursements</t>
  </si>
  <si>
    <t xml:space="preserve">      66100 Exempt</t>
  </si>
  <si>
    <t xml:space="preserve">      66200 Non-Exempt</t>
  </si>
  <si>
    <t xml:space="preserve">      66300 Contract</t>
  </si>
  <si>
    <t xml:space="preserve">   Total DEPARTMENT 4</t>
  </si>
  <si>
    <t xml:space="preserve">      52100 Bank Service Charges</t>
  </si>
  <si>
    <t xml:space="preserve">      52200 3rd Party Software</t>
  </si>
  <si>
    <t xml:space="preserve">      52300 Legal &amp; Accounting Fees</t>
  </si>
  <si>
    <t xml:space="preserve">      52500 Office Supplies &amp; Equipment</t>
  </si>
  <si>
    <t xml:space="preserve">      52600 Donor Development </t>
  </si>
  <si>
    <t xml:space="preserve">      52700 BOD Expenses</t>
  </si>
  <si>
    <t xml:space="preserve">      53300 Printing/postage/misc supplies</t>
  </si>
  <si>
    <t xml:space="preserve">      40400 Organization Donors</t>
  </si>
  <si>
    <t xml:space="preserve">      40500 Individual Donors</t>
  </si>
  <si>
    <t>Budget</t>
  </si>
  <si>
    <t xml:space="preserve">   41000 Earned </t>
  </si>
  <si>
    <t xml:space="preserve">      41200 Products</t>
  </si>
  <si>
    <t xml:space="preserve">      41300 Training</t>
  </si>
  <si>
    <r>
      <t xml:space="preserve">   </t>
    </r>
    <r>
      <rPr>
        <sz val="9"/>
        <color rgb="FF000000"/>
        <rFont val="Arial"/>
        <family val="2"/>
      </rPr>
      <t xml:space="preserve">   41400 Consulting</t>
    </r>
  </si>
  <si>
    <t xml:space="preserve">      41500 Sponsorships</t>
  </si>
  <si>
    <t xml:space="preserve">   Total 41000 Earned</t>
  </si>
  <si>
    <t xml:space="preserve">   42000 Other Types of Income</t>
  </si>
  <si>
    <t xml:space="preserve">      42100 Outside Travel Reimbursements</t>
  </si>
  <si>
    <t xml:space="preserve">      42200 Interest Income</t>
  </si>
  <si>
    <t xml:space="preserve">      42300 Capital Gains/Losses</t>
  </si>
  <si>
    <t>Notes/Assumptions</t>
  </si>
  <si>
    <t xml:space="preserve">   54000 DEPARTMENT 4</t>
  </si>
  <si>
    <t xml:space="preserve">      54100 Category 1</t>
  </si>
  <si>
    <t xml:space="preserve">      54200 Category 2</t>
  </si>
  <si>
    <t xml:space="preserve">      54300 Category 3</t>
  </si>
  <si>
    <t xml:space="preserve">    55000 DEPARTMENT 5</t>
  </si>
  <si>
    <t xml:space="preserve">      55100 Category 1</t>
  </si>
  <si>
    <t xml:space="preserve">      55200 Category 2</t>
  </si>
  <si>
    <t xml:space="preserve">      55300 Category 3</t>
  </si>
  <si>
    <t xml:space="preserve">    66000 Human Resources Expenses</t>
  </si>
  <si>
    <t>Delta to Budget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</si>
  <si>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HelveticaNowDisplay Light"/>
      </rPr>
      <t>Fill out the cells with your approved budget numbers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</si>
  <si>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HelveticaNowDisplay Light"/>
      </rPr>
      <t>As you do, use the comment feature so that you remember what you were basing the cell’s numbers on.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</si>
  <si>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HelveticaNowDisplay Light"/>
      </rPr>
      <t>Copy over the values from column N into column O. Don’t want this column to change as you go through the year.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</si>
  <si>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HelveticaNowDisplay Light"/>
      </rPr>
      <t>Add in your starting year cash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</si>
  <si>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HelveticaNowDisplay Light"/>
      </rPr>
      <t>Copy the values in row 76 and paste into row 80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</si>
  <si>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HelveticaNowDisplay Light"/>
      </rPr>
      <t>Create a copy of this sheet and label it “Annual Budget”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</si>
  <si>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HelveticaNowDisplay Light"/>
      </rPr>
      <t>Update each column once the books closed on that month</t>
    </r>
  </si>
  <si>
    <t xml:space="preserve">If cell is color-coded or in BOLD, don’t touch. </t>
  </si>
  <si>
    <t>If cell is white background and NOT in bold, it must be filled in by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</si>
</sst>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_);_(&quot;$&quot;* \(#,##0.00\);_(&quot;$&quot;* &quot;-&quot;??_);_(* @_)"/>
    <numFmt numFmtId="166" formatCode="&quot;$&quot;#,##0.00"/>
    <numFmt numFmtId="167" formatCode="[$-409]mmm\-yy;@"/>
    <numFmt numFmtId="168" formatCode="_(&quot;$&quot;* #,##0_);_(&quot;$&quot;* \(#,##0\);_(&quot;$&quot;* &quot;-&quot;??_);_(@_)"/>
  </numFmts>
  <fonts count="74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4"/>
      <name val="Arial"/>
      <family val="2"/>
    </font>
    <font>
      <b/>
      <sz val="8"/>
      <color rgb="FF0070C0"/>
      <name val="Arial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6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trike/>
      <sz val="9"/>
      <color indexed="8"/>
      <name val="Arial"/>
      <family val="2"/>
    </font>
    <font>
      <strike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9"/>
      <color rgb="FF006100"/>
      <name val="Arial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b/>
      <sz val="11"/>
      <color indexed="8"/>
      <name val="Arial"/>
      <family val="2"/>
    </font>
    <font>
      <b/>
      <sz val="9"/>
      <color rgb="FF006100"/>
      <name val="Arial"/>
      <family val="2"/>
    </font>
    <font>
      <b/>
      <sz val="9"/>
      <color rgb="FF9C5700"/>
      <name val="Arial"/>
      <family val="2"/>
    </font>
    <font>
      <b/>
      <sz val="9"/>
      <color rgb="FF9C0006"/>
      <name val="Arial"/>
      <family val="2"/>
    </font>
    <font>
      <sz val="9"/>
      <color theme="9" tint="-0.249977111117893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HelveticaNowDisplay Light"/>
    </font>
    <font>
      <sz val="7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rgb="FFB6D7A8"/>
      </patternFill>
    </fill>
    <fill>
      <patternFill patternType="solid">
        <fgColor rgb="FFFF7D88"/>
        <bgColor indexed="64"/>
      </patternFill>
    </fill>
    <fill>
      <patternFill patternType="solid">
        <fgColor rgb="FFFF7C7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CA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EB9C"/>
        <bgColor rgb="FF000000"/>
      </patternFill>
    </fill>
    <fill>
      <patternFill patternType="solid">
        <fgColor rgb="FFFF838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</borders>
  <cellStyleXfs count="50">
    <xf numFmtId="0" fontId="0" fillId="0" borderId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</cellStyleXfs>
  <cellXfs count="824">
    <xf numFmtId="0" fontId="0" fillId="0" borderId="0" xfId="0"/>
    <xf numFmtId="0" fontId="3" fillId="0" borderId="0" xfId="0" applyFont="1" applyAlignment="1">
      <alignment horizontal="left" wrapText="1"/>
    </xf>
    <xf numFmtId="39" fontId="4" fillId="0" borderId="0" xfId="0" applyNumberFormat="1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Font="1"/>
    <xf numFmtId="17" fontId="2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3" fillId="0" borderId="0" xfId="0" applyFont="1"/>
    <xf numFmtId="0" fontId="10" fillId="0" borderId="0" xfId="0" applyFont="1"/>
    <xf numFmtId="2" fontId="4" fillId="0" borderId="0" xfId="0" applyNumberFormat="1" applyFont="1" applyAlignment="1">
      <alignment horizontal="right" wrapText="1"/>
    </xf>
    <xf numFmtId="40" fontId="4" fillId="0" borderId="0" xfId="0" applyNumberFormat="1" applyFont="1" applyAlignment="1">
      <alignment horizontal="right" wrapText="1"/>
    </xf>
    <xf numFmtId="40" fontId="3" fillId="0" borderId="0" xfId="0" applyNumberFormat="1" applyFont="1" applyBorder="1" applyAlignment="1">
      <alignment horizontal="right" wrapText="1"/>
    </xf>
    <xf numFmtId="40" fontId="4" fillId="0" borderId="0" xfId="0" applyNumberFormat="1" applyFont="1" applyAlignment="1">
      <alignment wrapText="1"/>
    </xf>
    <xf numFmtId="40" fontId="3" fillId="0" borderId="2" xfId="0" applyNumberFormat="1" applyFont="1" applyBorder="1" applyAlignment="1">
      <alignment horizontal="right" wrapText="1"/>
    </xf>
    <xf numFmtId="40" fontId="3" fillId="0" borderId="0" xfId="0" applyNumberFormat="1" applyFont="1"/>
    <xf numFmtId="40" fontId="0" fillId="0" borderId="0" xfId="0" applyNumberFormat="1"/>
    <xf numFmtId="40" fontId="9" fillId="0" borderId="0" xfId="0" applyNumberFormat="1" applyFont="1"/>
    <xf numFmtId="8" fontId="3" fillId="0" borderId="3" xfId="1" applyNumberFormat="1" applyFont="1" applyBorder="1" applyAlignment="1">
      <alignment horizontal="right" wrapText="1"/>
    </xf>
    <xf numFmtId="7" fontId="3" fillId="0" borderId="2" xfId="1" applyNumberFormat="1" applyFont="1" applyBorder="1" applyAlignment="1">
      <alignment horizontal="right" wrapText="1"/>
    </xf>
    <xf numFmtId="8" fontId="3" fillId="0" borderId="0" xfId="0" applyNumberFormat="1" applyFont="1"/>
    <xf numFmtId="8" fontId="0" fillId="0" borderId="0" xfId="0" applyNumberFormat="1"/>
    <xf numFmtId="0" fontId="11" fillId="0" borderId="1" xfId="0" applyFont="1" applyBorder="1"/>
    <xf numFmtId="7" fontId="3" fillId="0" borderId="3" xfId="1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0" fontId="4" fillId="0" borderId="0" xfId="0" applyNumberFormat="1" applyFont="1" applyFill="1" applyAlignment="1">
      <alignment horizontal="right" wrapText="1"/>
    </xf>
    <xf numFmtId="0" fontId="11" fillId="0" borderId="0" xfId="0" applyFont="1"/>
    <xf numFmtId="40" fontId="4" fillId="2" borderId="0" xfId="0" applyNumberFormat="1" applyFont="1" applyFill="1" applyAlignment="1">
      <alignment horizontal="right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7" fontId="3" fillId="0" borderId="0" xfId="1" applyNumberFormat="1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0" fontId="18" fillId="0" borderId="4" xfId="0" applyFont="1" applyBorder="1" applyAlignment="1"/>
    <xf numFmtId="0" fontId="18" fillId="4" borderId="4" xfId="0" applyFont="1" applyFill="1" applyBorder="1" applyAlignment="1"/>
    <xf numFmtId="0" fontId="18" fillId="4" borderId="0" xfId="0" applyFont="1" applyFill="1" applyAlignment="1"/>
    <xf numFmtId="0" fontId="0" fillId="0" borderId="0" xfId="0" applyFont="1" applyAlignment="1"/>
    <xf numFmtId="0" fontId="18" fillId="5" borderId="4" xfId="0" applyFont="1" applyFill="1" applyBorder="1" applyAlignment="1">
      <alignment wrapText="1"/>
    </xf>
    <xf numFmtId="0" fontId="19" fillId="5" borderId="4" xfId="0" applyFont="1" applyFill="1" applyBorder="1" applyAlignment="1"/>
    <xf numFmtId="0" fontId="19" fillId="5" borderId="4" xfId="0" applyFont="1" applyFill="1" applyBorder="1"/>
    <xf numFmtId="0" fontId="18" fillId="4" borderId="4" xfId="0" applyFont="1" applyFill="1" applyBorder="1"/>
    <xf numFmtId="0" fontId="18" fillId="4" borderId="0" xfId="0" applyFont="1" applyFill="1"/>
    <xf numFmtId="0" fontId="19" fillId="0" borderId="4" xfId="0" applyFont="1" applyBorder="1" applyAlignment="1">
      <alignment horizontal="left" wrapText="1"/>
    </xf>
    <xf numFmtId="164" fontId="19" fillId="0" borderId="4" xfId="0" applyNumberFormat="1" applyFont="1" applyBorder="1" applyAlignment="1"/>
    <xf numFmtId="6" fontId="18" fillId="4" borderId="4" xfId="0" applyNumberFormat="1" applyFont="1" applyFill="1" applyBorder="1" applyAlignment="1"/>
    <xf numFmtId="6" fontId="18" fillId="4" borderId="0" xfId="0" applyNumberFormat="1" applyFont="1" applyFill="1" applyAlignment="1"/>
    <xf numFmtId="6" fontId="18" fillId="0" borderId="4" xfId="0" applyNumberFormat="1" applyFont="1" applyBorder="1" applyAlignment="1">
      <alignment horizontal="right" wrapText="1"/>
    </xf>
    <xf numFmtId="6" fontId="18" fillId="0" borderId="4" xfId="0" applyNumberFormat="1" applyFont="1" applyBorder="1" applyAlignment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/>
    <xf numFmtId="0" fontId="19" fillId="0" borderId="4" xfId="0" applyFont="1" applyBorder="1"/>
    <xf numFmtId="0" fontId="18" fillId="0" borderId="4" xfId="0" applyFont="1" applyBorder="1" applyAlignment="1">
      <alignment horizontal="left" wrapText="1"/>
    </xf>
    <xf numFmtId="164" fontId="19" fillId="6" borderId="4" xfId="0" applyNumberFormat="1" applyFont="1" applyFill="1" applyBorder="1"/>
    <xf numFmtId="0" fontId="19" fillId="6" borderId="4" xfId="0" applyFont="1" applyFill="1" applyBorder="1"/>
    <xf numFmtId="164" fontId="19" fillId="0" borderId="4" xfId="0" applyNumberFormat="1" applyFont="1" applyBorder="1"/>
    <xf numFmtId="164" fontId="19" fillId="6" borderId="0" xfId="0" applyNumberFormat="1" applyFont="1" applyFill="1"/>
    <xf numFmtId="0" fontId="18" fillId="0" borderId="4" xfId="0" applyFont="1" applyBorder="1" applyAlignment="1">
      <alignment horizontal="right" wrapText="1"/>
    </xf>
    <xf numFmtId="164" fontId="18" fillId="0" borderId="4" xfId="0" applyNumberFormat="1" applyFont="1" applyBorder="1" applyAlignment="1"/>
    <xf numFmtId="164" fontId="18" fillId="4" borderId="4" xfId="0" applyNumberFormat="1" applyFont="1" applyFill="1" applyBorder="1" applyAlignment="1"/>
    <xf numFmtId="0" fontId="18" fillId="0" borderId="4" xfId="0" applyFont="1" applyBorder="1"/>
    <xf numFmtId="6" fontId="18" fillId="4" borderId="4" xfId="0" applyNumberFormat="1" applyFont="1" applyFill="1" applyBorder="1" applyAlignment="1">
      <alignment horizontal="right" wrapText="1"/>
    </xf>
    <xf numFmtId="6" fontId="18" fillId="4" borderId="4" xfId="0" applyNumberFormat="1" applyFont="1" applyFill="1" applyBorder="1"/>
    <xf numFmtId="6" fontId="18" fillId="4" borderId="0" xfId="0" applyNumberFormat="1" applyFont="1" applyFill="1"/>
    <xf numFmtId="0" fontId="18" fillId="0" borderId="0" xfId="0" applyFont="1"/>
    <xf numFmtId="0" fontId="18" fillId="7" borderId="4" xfId="0" applyFont="1" applyFill="1" applyBorder="1" applyAlignment="1">
      <alignment horizontal="right" wrapText="1"/>
    </xf>
    <xf numFmtId="0" fontId="18" fillId="7" borderId="4" xfId="0" applyFont="1" applyFill="1" applyBorder="1" applyAlignment="1"/>
    <xf numFmtId="0" fontId="18" fillId="0" borderId="0" xfId="0" applyFont="1" applyAlignment="1"/>
    <xf numFmtId="0" fontId="19" fillId="0" borderId="4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8" borderId="0" xfId="0" applyFont="1" applyFill="1" applyAlignment="1">
      <alignment horizontal="left" wrapText="1"/>
    </xf>
    <xf numFmtId="40" fontId="4" fillId="8" borderId="0" xfId="0" applyNumberFormat="1" applyFont="1" applyFill="1" applyAlignment="1">
      <alignment horizontal="right" wrapText="1"/>
    </xf>
    <xf numFmtId="0" fontId="4" fillId="8" borderId="0" xfId="0" applyFont="1" applyFill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/>
    </xf>
    <xf numFmtId="8" fontId="3" fillId="0" borderId="3" xfId="1" applyNumberFormat="1" applyFont="1" applyFill="1" applyBorder="1" applyAlignment="1">
      <alignment horizontal="right" wrapText="1"/>
    </xf>
    <xf numFmtId="8" fontId="3" fillId="0" borderId="0" xfId="1" applyNumberFormat="1" applyFont="1" applyFill="1" applyBorder="1" applyAlignment="1">
      <alignment horizontal="right" wrapText="1"/>
    </xf>
    <xf numFmtId="0" fontId="0" fillId="0" borderId="0" xfId="0"/>
    <xf numFmtId="0" fontId="8" fillId="11" borderId="5" xfId="0" applyFont="1" applyFill="1" applyBorder="1" applyAlignment="1">
      <alignment horizontal="center"/>
    </xf>
    <xf numFmtId="164" fontId="19" fillId="12" borderId="4" xfId="0" applyNumberFormat="1" applyFont="1" applyFill="1" applyBorder="1"/>
    <xf numFmtId="16" fontId="19" fillId="0" borderId="4" xfId="0" applyNumberFormat="1" applyFont="1" applyBorder="1"/>
    <xf numFmtId="16" fontId="0" fillId="0" borderId="0" xfId="0" applyNumberFormat="1" applyFont="1" applyAlignment="1"/>
    <xf numFmtId="17" fontId="0" fillId="0" borderId="0" xfId="0" applyNumberFormat="1" applyFont="1" applyAlignment="1"/>
    <xf numFmtId="17" fontId="0" fillId="0" borderId="0" xfId="0" applyNumberFormat="1"/>
    <xf numFmtId="0" fontId="21" fillId="0" borderId="0" xfId="0" applyFont="1"/>
    <xf numFmtId="0" fontId="20" fillId="9" borderId="0" xfId="0" applyFont="1" applyFill="1"/>
    <xf numFmtId="0" fontId="22" fillId="0" borderId="0" xfId="0" applyFont="1"/>
    <xf numFmtId="0" fontId="24" fillId="0" borderId="0" xfId="0" applyFont="1"/>
    <xf numFmtId="0" fontId="20" fillId="2" borderId="0" xfId="0" applyFont="1" applyFill="1"/>
    <xf numFmtId="0" fontId="23" fillId="0" borderId="0" xfId="0" applyFont="1"/>
    <xf numFmtId="0" fontId="25" fillId="0" borderId="0" xfId="0" applyFont="1"/>
    <xf numFmtId="0" fontId="26" fillId="0" borderId="0" xfId="0" applyFont="1"/>
    <xf numFmtId="7" fontId="27" fillId="9" borderId="0" xfId="0" applyNumberFormat="1" applyFont="1" applyFill="1"/>
    <xf numFmtId="7" fontId="27" fillId="0" borderId="0" xfId="0" applyNumberFormat="1" applyFont="1"/>
    <xf numFmtId="4" fontId="0" fillId="0" borderId="0" xfId="0" applyNumberFormat="1"/>
    <xf numFmtId="166" fontId="0" fillId="0" borderId="0" xfId="0" applyNumberFormat="1"/>
    <xf numFmtId="166" fontId="8" fillId="0" borderId="0" xfId="0" applyNumberFormat="1" applyFont="1"/>
    <xf numFmtId="0" fontId="0" fillId="9" borderId="0" xfId="0" applyFont="1" applyFill="1" applyAlignment="1">
      <alignment horizontal="center"/>
    </xf>
    <xf numFmtId="167" fontId="0" fillId="0" borderId="0" xfId="0" applyNumberFormat="1"/>
    <xf numFmtId="4" fontId="8" fillId="0" borderId="0" xfId="0" applyNumberFormat="1" applyFont="1"/>
    <xf numFmtId="167" fontId="8" fillId="0" borderId="0" xfId="0" applyNumberFormat="1" applyFont="1" applyAlignment="1">
      <alignment horizontal="right"/>
    </xf>
    <xf numFmtId="4" fontId="0" fillId="0" borderId="1" xfId="0" applyNumberFormat="1" applyBorder="1"/>
    <xf numFmtId="166" fontId="8" fillId="0" borderId="6" xfId="0" applyNumberFormat="1" applyFont="1" applyBorder="1"/>
    <xf numFmtId="4" fontId="0" fillId="0" borderId="0" xfId="0" applyNumberFormat="1" applyBorder="1"/>
    <xf numFmtId="166" fontId="8" fillId="0" borderId="0" xfId="0" applyNumberFormat="1" applyFont="1" applyBorder="1"/>
    <xf numFmtId="167" fontId="8" fillId="0" borderId="0" xfId="0" applyNumberFormat="1" applyFont="1"/>
    <xf numFmtId="0" fontId="30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44" fontId="0" fillId="0" borderId="0" xfId="1" applyFont="1"/>
    <xf numFmtId="44" fontId="8" fillId="0" borderId="0" xfId="1" applyFo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4" fontId="7" fillId="0" borderId="0" xfId="1" applyFont="1"/>
    <xf numFmtId="0" fontId="2" fillId="0" borderId="1" xfId="0" applyFont="1" applyBorder="1"/>
    <xf numFmtId="0" fontId="2" fillId="9" borderId="1" xfId="0" applyFont="1" applyFill="1" applyBorder="1" applyAlignment="1">
      <alignment horizontal="center" wrapText="1"/>
    </xf>
    <xf numFmtId="0" fontId="20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0" fillId="0" borderId="7" xfId="0" applyFont="1" applyBorder="1"/>
    <xf numFmtId="0" fontId="8" fillId="0" borderId="1" xfId="0" applyFont="1" applyBorder="1"/>
    <xf numFmtId="166" fontId="0" fillId="0" borderId="0" xfId="0" applyNumberFormat="1" applyAlignment="1">
      <alignment horizontal="right"/>
    </xf>
    <xf numFmtId="2" fontId="11" fillId="0" borderId="0" xfId="0" applyNumberFormat="1" applyFont="1" applyFill="1" applyAlignment="1">
      <alignment horizontal="right" wrapText="1"/>
    </xf>
    <xf numFmtId="0" fontId="31" fillId="0" borderId="0" xfId="0" applyFont="1"/>
    <xf numFmtId="9" fontId="11" fillId="0" borderId="0" xfId="42" applyFont="1"/>
    <xf numFmtId="9" fontId="11" fillId="0" borderId="1" xfId="42" applyFont="1" applyBorder="1"/>
    <xf numFmtId="40" fontId="11" fillId="0" borderId="0" xfId="0" applyNumberFormat="1" applyFont="1" applyFill="1" applyAlignment="1">
      <alignment horizontal="right" wrapText="1"/>
    </xf>
    <xf numFmtId="0" fontId="2" fillId="0" borderId="0" xfId="0" applyFont="1"/>
    <xf numFmtId="40" fontId="11" fillId="0" borderId="0" xfId="0" applyNumberFormat="1" applyFont="1" applyFill="1" applyAlignment="1">
      <alignment wrapText="1"/>
    </xf>
    <xf numFmtId="0" fontId="11" fillId="0" borderId="0" xfId="0" applyFont="1" applyFill="1"/>
    <xf numFmtId="40" fontId="2" fillId="0" borderId="0" xfId="0" applyNumberFormat="1" applyFont="1" applyFill="1"/>
    <xf numFmtId="40" fontId="11" fillId="0" borderId="0" xfId="0" applyNumberFormat="1" applyFont="1" applyFill="1"/>
    <xf numFmtId="8" fontId="11" fillId="0" borderId="0" xfId="0" applyNumberFormat="1" applyFont="1" applyFill="1"/>
    <xf numFmtId="40" fontId="11" fillId="0" borderId="0" xfId="0" applyNumberFormat="1" applyFont="1" applyFill="1" applyAlignment="1">
      <alignment horizontal="left" wrapText="1"/>
    </xf>
    <xf numFmtId="40" fontId="4" fillId="0" borderId="1" xfId="0" applyNumberFormat="1" applyFont="1" applyFill="1" applyBorder="1" applyAlignment="1">
      <alignment horizontal="right" wrapText="1"/>
    </xf>
    <xf numFmtId="9" fontId="11" fillId="0" borderId="3" xfId="42" applyFont="1" applyBorder="1"/>
    <xf numFmtId="4" fontId="4" fillId="0" borderId="7" xfId="0" applyNumberFormat="1" applyFont="1" applyBorder="1"/>
    <xf numFmtId="4" fontId="4" fillId="9" borderId="7" xfId="0" applyNumberFormat="1" applyFont="1" applyFill="1" applyBorder="1"/>
    <xf numFmtId="0" fontId="4" fillId="0" borderId="0" xfId="0" applyFont="1" applyAlignment="1">
      <alignment horizontal="right" wrapText="1"/>
    </xf>
    <xf numFmtId="0" fontId="0" fillId="0" borderId="0" xfId="0"/>
    <xf numFmtId="0" fontId="20" fillId="0" borderId="0" xfId="0" applyFont="1"/>
    <xf numFmtId="40" fontId="3" fillId="9" borderId="2" xfId="0" applyNumberFormat="1" applyFont="1" applyFill="1" applyBorder="1" applyAlignment="1">
      <alignment horizontal="right" wrapText="1"/>
    </xf>
    <xf numFmtId="40" fontId="4" fillId="9" borderId="0" xfId="0" applyNumberFormat="1" applyFont="1" applyFill="1" applyAlignment="1">
      <alignment horizontal="right" wrapText="1"/>
    </xf>
    <xf numFmtId="0" fontId="8" fillId="9" borderId="7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40" fillId="9" borderId="0" xfId="0" applyFont="1" applyFill="1" applyAlignment="1">
      <alignment horizontal="center"/>
    </xf>
    <xf numFmtId="0" fontId="20" fillId="0" borderId="0" xfId="0" applyFont="1"/>
    <xf numFmtId="0" fontId="8" fillId="0" borderId="5" xfId="0" applyFont="1" applyFill="1" applyBorder="1" applyAlignment="1">
      <alignment horizontal="center"/>
    </xf>
    <xf numFmtId="164" fontId="19" fillId="0" borderId="4" xfId="0" applyNumberFormat="1" applyFont="1" applyFill="1" applyBorder="1"/>
    <xf numFmtId="0" fontId="19" fillId="0" borderId="4" xfId="0" applyFont="1" applyFill="1" applyBorder="1"/>
    <xf numFmtId="164" fontId="19" fillId="0" borderId="4" xfId="0" applyNumberFormat="1" applyFont="1" applyFill="1" applyBorder="1" applyAlignment="1"/>
    <xf numFmtId="0" fontId="19" fillId="0" borderId="4" xfId="0" applyNumberFormat="1" applyFont="1" applyBorder="1" applyAlignment="1"/>
    <xf numFmtId="0" fontId="19" fillId="0" borderId="4" xfId="0" applyNumberFormat="1" applyFont="1" applyBorder="1"/>
    <xf numFmtId="0" fontId="20" fillId="0" borderId="0" xfId="0" applyFont="1"/>
    <xf numFmtId="0" fontId="19" fillId="13" borderId="4" xfId="0" applyFont="1" applyFill="1" applyBorder="1" applyAlignment="1">
      <alignment horizontal="left" wrapText="1"/>
    </xf>
    <xf numFmtId="164" fontId="19" fillId="14" borderId="4" xfId="0" applyNumberFormat="1" applyFont="1" applyFill="1" applyBorder="1"/>
    <xf numFmtId="0" fontId="4" fillId="15" borderId="0" xfId="0" applyFont="1" applyFill="1" applyAlignment="1">
      <alignment horizontal="left" wrapText="1"/>
    </xf>
    <xf numFmtId="40" fontId="4" fillId="13" borderId="0" xfId="0" applyNumberFormat="1" applyFont="1" applyFill="1" applyAlignment="1">
      <alignment horizontal="right" wrapText="1"/>
    </xf>
    <xf numFmtId="0" fontId="2" fillId="9" borderId="0" xfId="0" applyFont="1" applyFill="1" applyBorder="1" applyAlignment="1">
      <alignment horizontal="center" wrapText="1"/>
    </xf>
    <xf numFmtId="40" fontId="3" fillId="9" borderId="0" xfId="0" applyNumberFormat="1" applyFont="1" applyFill="1" applyAlignment="1">
      <alignment horizontal="right" wrapText="1"/>
    </xf>
    <xf numFmtId="40" fontId="3" fillId="9" borderId="3" xfId="0" applyNumberFormat="1" applyFont="1" applyFill="1" applyBorder="1" applyAlignment="1">
      <alignment horizontal="right" wrapText="1"/>
    </xf>
    <xf numFmtId="40" fontId="3" fillId="9" borderId="1" xfId="0" applyNumberFormat="1" applyFont="1" applyFill="1" applyBorder="1" applyAlignment="1">
      <alignment horizontal="right" wrapText="1"/>
    </xf>
    <xf numFmtId="40" fontId="11" fillId="9" borderId="0" xfId="0" applyNumberFormat="1" applyFont="1" applyFill="1" applyAlignment="1">
      <alignment horizontal="right" wrapText="1"/>
    </xf>
    <xf numFmtId="0" fontId="8" fillId="0" borderId="0" xfId="0" applyNumberFormat="1" applyFont="1"/>
    <xf numFmtId="2" fontId="0" fillId="0" borderId="0" xfId="42" applyNumberFormat="1" applyFont="1" applyBorder="1"/>
    <xf numFmtId="9" fontId="0" fillId="0" borderId="0" xfId="42" applyFont="1" applyAlignment="1">
      <alignment horizontal="right"/>
    </xf>
    <xf numFmtId="0" fontId="0" fillId="0" borderId="0" xfId="0"/>
    <xf numFmtId="168" fontId="0" fillId="0" borderId="0" xfId="1" applyNumberFormat="1" applyFont="1"/>
    <xf numFmtId="168" fontId="8" fillId="0" borderId="0" xfId="1" applyNumberFormat="1" applyFont="1"/>
    <xf numFmtId="168" fontId="8" fillId="0" borderId="0" xfId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11" fillId="15" borderId="0" xfId="0" applyFont="1" applyFill="1"/>
    <xf numFmtId="0" fontId="11" fillId="3" borderId="0" xfId="0" applyFont="1" applyFill="1"/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168" fontId="44" fillId="0" borderId="0" xfId="1" applyNumberFormat="1" applyFont="1" applyAlignment="1">
      <alignment horizontal="center"/>
    </xf>
    <xf numFmtId="168" fontId="44" fillId="0" borderId="0" xfId="1" applyNumberFormat="1" applyFont="1" applyAlignment="1">
      <alignment horizontal="left" wrapText="1"/>
    </xf>
    <xf numFmtId="168" fontId="44" fillId="0" borderId="0" xfId="1" applyNumberFormat="1" applyFont="1" applyAlignment="1">
      <alignment horizontal="center" wrapText="1"/>
    </xf>
    <xf numFmtId="168" fontId="0" fillId="11" borderId="2" xfId="1" applyNumberFormat="1" applyFont="1" applyFill="1" applyBorder="1"/>
    <xf numFmtId="168" fontId="45" fillId="11" borderId="3" xfId="1" applyNumberFormat="1" applyFont="1" applyFill="1" applyBorder="1" applyAlignment="1">
      <alignment horizontal="center" wrapText="1"/>
    </xf>
    <xf numFmtId="168" fontId="0" fillId="11" borderId="3" xfId="1" applyNumberFormat="1" applyFont="1" applyFill="1" applyBorder="1"/>
    <xf numFmtId="168" fontId="0" fillId="0" borderId="2" xfId="1" applyNumberFormat="1" applyFont="1" applyBorder="1"/>
    <xf numFmtId="168" fontId="0" fillId="0" borderId="0" xfId="1" applyNumberFormat="1" applyFont="1" applyAlignment="1">
      <alignment horizontal="left"/>
    </xf>
    <xf numFmtId="164" fontId="0" fillId="11" borderId="0" xfId="1" applyNumberFormat="1" applyFont="1" applyFill="1"/>
    <xf numFmtId="168" fontId="0" fillId="0" borderId="0" xfId="1" applyNumberFormat="1" applyFont="1" applyAlignment="1">
      <alignment horizontal="right"/>
    </xf>
    <xf numFmtId="0" fontId="0" fillId="0" borderId="0" xfId="1" applyNumberFormat="1" applyFont="1"/>
    <xf numFmtId="168" fontId="44" fillId="0" borderId="0" xfId="1" applyNumberFormat="1" applyFont="1"/>
    <xf numFmtId="168" fontId="0" fillId="0" borderId="0" xfId="1" applyNumberFormat="1" applyFont="1" applyAlignment="1">
      <alignment horizontal="left" wrapText="1"/>
    </xf>
    <xf numFmtId="168" fontId="0" fillId="0" borderId="1" xfId="1" applyNumberFormat="1" applyFont="1" applyBorder="1"/>
    <xf numFmtId="168" fontId="44" fillId="0" borderId="0" xfId="1" applyNumberFormat="1" applyFont="1" applyAlignment="1">
      <alignment horizontal="right"/>
    </xf>
    <xf numFmtId="168" fontId="0" fillId="16" borderId="3" xfId="1" applyNumberFormat="1" applyFont="1" applyFill="1" applyBorder="1"/>
    <xf numFmtId="168" fontId="45" fillId="16" borderId="3" xfId="1" applyNumberFormat="1" applyFont="1" applyFill="1" applyBorder="1" applyAlignment="1">
      <alignment horizontal="center" wrapText="1"/>
    </xf>
    <xf numFmtId="168" fontId="44" fillId="16" borderId="3" xfId="1" applyNumberFormat="1" applyFont="1" applyFill="1" applyBorder="1" applyAlignment="1">
      <alignment horizontal="center" wrapText="1"/>
    </xf>
    <xf numFmtId="5" fontId="0" fillId="16" borderId="0" xfId="1" applyNumberFormat="1" applyFont="1" applyFill="1"/>
    <xf numFmtId="5" fontId="0" fillId="16" borderId="0" xfId="1" applyNumberFormat="1" applyFont="1" applyFill="1" applyAlignment="1">
      <alignment wrapText="1"/>
    </xf>
    <xf numFmtId="168" fontId="46" fillId="0" borderId="5" xfId="1" applyNumberFormat="1" applyFont="1" applyBorder="1" applyAlignment="1">
      <alignment vertical="center" textRotation="90" wrapText="1"/>
    </xf>
    <xf numFmtId="168" fontId="0" fillId="0" borderId="10" xfId="1" applyNumberFormat="1" applyFont="1" applyBorder="1"/>
    <xf numFmtId="5" fontId="44" fillId="16" borderId="3" xfId="1" applyNumberFormat="1" applyFont="1" applyFill="1" applyBorder="1" applyAlignment="1">
      <alignment horizontal="center"/>
    </xf>
    <xf numFmtId="168" fontId="0" fillId="16" borderId="0" xfId="1" applyNumberFormat="1" applyFont="1" applyFill="1"/>
    <xf numFmtId="168" fontId="0" fillId="0" borderId="9" xfId="1" applyNumberFormat="1" applyFont="1" applyBorder="1"/>
    <xf numFmtId="168" fontId="44" fillId="0" borderId="3" xfId="1" applyNumberFormat="1" applyFont="1" applyBorder="1" applyAlignment="1">
      <alignment horizontal="right" wrapText="1"/>
    </xf>
    <xf numFmtId="5" fontId="0" fillId="16" borderId="3" xfId="1" applyNumberFormat="1" applyFont="1" applyFill="1" applyBorder="1"/>
    <xf numFmtId="168" fontId="47" fillId="3" borderId="0" xfId="1" applyNumberFormat="1" applyFont="1" applyFill="1"/>
    <xf numFmtId="0" fontId="1" fillId="0" borderId="0" xfId="44"/>
    <xf numFmtId="6" fontId="1" fillId="0" borderId="0" xfId="44" applyNumberFormat="1"/>
    <xf numFmtId="9" fontId="0" fillId="0" borderId="16" xfId="45" applyFont="1" applyBorder="1"/>
    <xf numFmtId="6" fontId="1" fillId="0" borderId="17" xfId="44" applyNumberFormat="1" applyBorder="1"/>
    <xf numFmtId="9" fontId="0" fillId="0" borderId="17" xfId="45" applyFont="1" applyBorder="1"/>
    <xf numFmtId="6" fontId="1" fillId="0" borderId="18" xfId="44" applyNumberFormat="1" applyBorder="1"/>
    <xf numFmtId="0" fontId="1" fillId="0" borderId="18" xfId="44" applyBorder="1"/>
    <xf numFmtId="9" fontId="0" fillId="0" borderId="19" xfId="45" applyFont="1" applyBorder="1"/>
    <xf numFmtId="9" fontId="0" fillId="0" borderId="0" xfId="45" applyFont="1"/>
    <xf numFmtId="6" fontId="1" fillId="0" borderId="20" xfId="44" applyNumberFormat="1" applyBorder="1"/>
    <xf numFmtId="0" fontId="1" fillId="0" borderId="20" xfId="44" applyBorder="1"/>
    <xf numFmtId="0" fontId="1" fillId="17" borderId="21" xfId="44" applyFill="1" applyBorder="1"/>
    <xf numFmtId="6" fontId="1" fillId="17" borderId="3" xfId="44" applyNumberFormat="1" applyFill="1" applyBorder="1"/>
    <xf numFmtId="0" fontId="1" fillId="17" borderId="3" xfId="44" applyFill="1" applyBorder="1"/>
    <xf numFmtId="6" fontId="1" fillId="17" borderId="22" xfId="44" applyNumberFormat="1" applyFill="1" applyBorder="1"/>
    <xf numFmtId="6" fontId="1" fillId="17" borderId="21" xfId="44" applyNumberFormat="1" applyFill="1" applyBorder="1"/>
    <xf numFmtId="0" fontId="1" fillId="17" borderId="22" xfId="44" applyFill="1" applyBorder="1"/>
    <xf numFmtId="0" fontId="44" fillId="0" borderId="24" xfId="44" applyFont="1" applyBorder="1" applyAlignment="1">
      <alignment horizontal="center" wrapText="1"/>
    </xf>
    <xf numFmtId="0" fontId="1" fillId="0" borderId="25" xfId="44" applyBorder="1"/>
    <xf numFmtId="168" fontId="0" fillId="0" borderId="0" xfId="46" applyNumberFormat="1" applyFont="1"/>
    <xf numFmtId="168" fontId="0" fillId="0" borderId="0" xfId="46" applyNumberFormat="1" applyFont="1" applyAlignment="1">
      <alignment horizontal="left" wrapText="1"/>
    </xf>
    <xf numFmtId="168" fontId="1" fillId="0" borderId="0" xfId="46" applyNumberFormat="1" applyAlignment="1">
      <alignment horizontal="left"/>
    </xf>
    <xf numFmtId="168" fontId="44" fillId="0" borderId="0" xfId="46" applyNumberFormat="1" applyFont="1"/>
    <xf numFmtId="5" fontId="0" fillId="16" borderId="3" xfId="46" applyNumberFormat="1" applyFont="1" applyFill="1" applyBorder="1"/>
    <xf numFmtId="168" fontId="0" fillId="16" borderId="3" xfId="46" applyNumberFormat="1" applyFont="1" applyFill="1" applyBorder="1"/>
    <xf numFmtId="168" fontId="44" fillId="0" borderId="3" xfId="46" applyNumberFormat="1" applyFont="1" applyBorder="1" applyAlignment="1">
      <alignment horizontal="right" wrapText="1"/>
    </xf>
    <xf numFmtId="168" fontId="0" fillId="0" borderId="9" xfId="46" applyNumberFormat="1" applyFont="1" applyBorder="1"/>
    <xf numFmtId="5" fontId="0" fillId="16" borderId="0" xfId="46" applyNumberFormat="1" applyFont="1" applyFill="1"/>
    <xf numFmtId="168" fontId="0" fillId="16" borderId="0" xfId="46" applyNumberFormat="1" applyFont="1" applyFill="1"/>
    <xf numFmtId="168" fontId="0" fillId="0" borderId="0" xfId="46" applyNumberFormat="1" applyFont="1" applyAlignment="1">
      <alignment horizontal="left"/>
    </xf>
    <xf numFmtId="5" fontId="44" fillId="16" borderId="3" xfId="46" applyNumberFormat="1" applyFont="1" applyFill="1" applyBorder="1" applyAlignment="1">
      <alignment horizontal="center"/>
    </xf>
    <xf numFmtId="168" fontId="0" fillId="0" borderId="10" xfId="46" applyNumberFormat="1" applyFont="1" applyBorder="1"/>
    <xf numFmtId="168" fontId="46" fillId="0" borderId="5" xfId="46" applyNumberFormat="1" applyFont="1" applyBorder="1" applyAlignment="1">
      <alignment vertical="center" textRotation="90" wrapText="1"/>
    </xf>
    <xf numFmtId="168" fontId="44" fillId="0" borderId="0" xfId="46" applyNumberFormat="1" applyFont="1" applyAlignment="1">
      <alignment horizontal="right"/>
    </xf>
    <xf numFmtId="168" fontId="0" fillId="0" borderId="0" xfId="46" applyNumberFormat="1" applyFont="1" applyAlignment="1">
      <alignment horizontal="right"/>
    </xf>
    <xf numFmtId="0" fontId="0" fillId="0" borderId="0" xfId="46" applyNumberFormat="1" applyFont="1"/>
    <xf numFmtId="168" fontId="44" fillId="18" borderId="0" xfId="46" applyNumberFormat="1" applyFont="1" applyFill="1"/>
    <xf numFmtId="168" fontId="44" fillId="16" borderId="3" xfId="46" applyNumberFormat="1" applyFont="1" applyFill="1" applyBorder="1" applyAlignment="1">
      <alignment horizontal="center" wrapText="1"/>
    </xf>
    <xf numFmtId="168" fontId="45" fillId="16" borderId="3" xfId="46" applyNumberFormat="1" applyFont="1" applyFill="1" applyBorder="1" applyAlignment="1">
      <alignment horizontal="center" wrapText="1"/>
    </xf>
    <xf numFmtId="168" fontId="1" fillId="0" borderId="0" xfId="46" applyNumberFormat="1"/>
    <xf numFmtId="168" fontId="0" fillId="18" borderId="1" xfId="46" applyNumberFormat="1" applyFont="1" applyFill="1" applyBorder="1" applyAlignment="1">
      <alignment wrapText="1"/>
    </xf>
    <xf numFmtId="168" fontId="0" fillId="0" borderId="0" xfId="46" applyNumberFormat="1" applyFont="1" applyAlignment="1">
      <alignment horizontal="right" wrapText="1"/>
    </xf>
    <xf numFmtId="164" fontId="0" fillId="11" borderId="0" xfId="46" applyNumberFormat="1" applyFont="1" applyFill="1" applyAlignment="1">
      <alignment wrapText="1"/>
    </xf>
    <xf numFmtId="168" fontId="0" fillId="0" borderId="0" xfId="46" applyNumberFormat="1" applyFont="1" applyAlignment="1">
      <alignment wrapText="1"/>
    </xf>
    <xf numFmtId="168" fontId="1" fillId="18" borderId="0" xfId="46" applyNumberFormat="1" applyFill="1"/>
    <xf numFmtId="168" fontId="0" fillId="11" borderId="0" xfId="46" applyNumberFormat="1" applyFont="1" applyFill="1"/>
    <xf numFmtId="0" fontId="0" fillId="18" borderId="0" xfId="46" applyNumberFormat="1" applyFont="1" applyFill="1"/>
    <xf numFmtId="168" fontId="0" fillId="0" borderId="2" xfId="46" applyNumberFormat="1" applyFont="1" applyBorder="1"/>
    <xf numFmtId="168" fontId="44" fillId="18" borderId="3" xfId="46" applyNumberFormat="1" applyFont="1" applyFill="1" applyBorder="1"/>
    <xf numFmtId="168" fontId="0" fillId="11" borderId="3" xfId="46" applyNumberFormat="1" applyFont="1" applyFill="1" applyBorder="1"/>
    <xf numFmtId="168" fontId="45" fillId="11" borderId="3" xfId="46" applyNumberFormat="1" applyFont="1" applyFill="1" applyBorder="1" applyAlignment="1">
      <alignment horizontal="center" wrapText="1"/>
    </xf>
    <xf numFmtId="168" fontId="0" fillId="11" borderId="2" xfId="46" applyNumberFormat="1" applyFont="1" applyFill="1" applyBorder="1"/>
    <xf numFmtId="168" fontId="44" fillId="0" borderId="0" xfId="46" applyNumberFormat="1" applyFont="1" applyAlignment="1">
      <alignment horizontal="center" wrapText="1"/>
    </xf>
    <xf numFmtId="168" fontId="44" fillId="0" borderId="0" xfId="46" applyNumberFormat="1" applyFont="1" applyAlignment="1">
      <alignment horizontal="left" wrapText="1"/>
    </xf>
    <xf numFmtId="0" fontId="0" fillId="0" borderId="0" xfId="46" applyNumberFormat="1" applyFont="1" applyAlignment="1">
      <alignment horizontal="left"/>
    </xf>
    <xf numFmtId="0" fontId="31" fillId="0" borderId="0" xfId="0" applyFont="1" applyFill="1"/>
    <xf numFmtId="40" fontId="11" fillId="0" borderId="0" xfId="0" applyNumberFormat="1" applyFont="1" applyFill="1" applyBorder="1" applyAlignment="1">
      <alignment horizontal="right" wrapText="1"/>
    </xf>
    <xf numFmtId="6" fontId="2" fillId="0" borderId="0" xfId="0" applyNumberFormat="1" applyFont="1" applyFill="1"/>
    <xf numFmtId="39" fontId="11" fillId="0" borderId="0" xfId="0" applyNumberFormat="1" applyFont="1" applyFill="1" applyAlignment="1">
      <alignment wrapText="1"/>
    </xf>
    <xf numFmtId="39" fontId="11" fillId="0" borderId="0" xfId="0" applyNumberFormat="1" applyFont="1" applyFill="1" applyAlignment="1">
      <alignment horizontal="right" wrapText="1"/>
    </xf>
    <xf numFmtId="39" fontId="2" fillId="0" borderId="0" xfId="0" applyNumberFormat="1" applyFont="1" applyFill="1" applyBorder="1" applyAlignment="1">
      <alignment horizontal="right" wrapText="1"/>
    </xf>
    <xf numFmtId="39" fontId="31" fillId="0" borderId="0" xfId="0" applyNumberFormat="1" applyFont="1" applyFill="1"/>
    <xf numFmtId="39" fontId="11" fillId="0" borderId="0" xfId="0" applyNumberFormat="1" applyFont="1" applyFill="1"/>
    <xf numFmtId="39" fontId="2" fillId="0" borderId="0" xfId="0" applyNumberFormat="1" applyFont="1" applyFill="1"/>
    <xf numFmtId="39" fontId="2" fillId="0" borderId="2" xfId="1" applyNumberFormat="1" applyFont="1" applyFill="1" applyBorder="1" applyAlignment="1">
      <alignment horizontal="right" wrapText="1"/>
    </xf>
    <xf numFmtId="39" fontId="2" fillId="0" borderId="2" xfId="0" applyNumberFormat="1" applyFont="1" applyFill="1" applyBorder="1" applyAlignment="1">
      <alignment horizontal="right" wrapText="1"/>
    </xf>
    <xf numFmtId="39" fontId="11" fillId="0" borderId="0" xfId="0" applyNumberFormat="1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/>
    <xf numFmtId="0" fontId="8" fillId="0" borderId="0" xfId="0" applyNumberFormat="1" applyFont="1" applyAlignment="1">
      <alignment horizontal="center"/>
    </xf>
    <xf numFmtId="166" fontId="0" fillId="0" borderId="1" xfId="0" applyNumberFormat="1" applyBorder="1"/>
    <xf numFmtId="4" fontId="8" fillId="0" borderId="0" xfId="0" applyNumberFormat="1" applyFont="1" applyAlignment="1">
      <alignment horizontal="center"/>
    </xf>
    <xf numFmtId="39" fontId="11" fillId="0" borderId="14" xfId="0" applyNumberFormat="1" applyFont="1" applyFill="1" applyBorder="1"/>
    <xf numFmtId="0" fontId="2" fillId="0" borderId="0" xfId="0" applyFont="1" applyFill="1"/>
    <xf numFmtId="39" fontId="11" fillId="0" borderId="0" xfId="0" applyNumberFormat="1" applyFont="1" applyFill="1" applyBorder="1"/>
    <xf numFmtId="39" fontId="2" fillId="0" borderId="0" xfId="0" applyNumberFormat="1" applyFont="1" applyFill="1" applyBorder="1"/>
    <xf numFmtId="0" fontId="0" fillId="0" borderId="0" xfId="0"/>
    <xf numFmtId="7" fontId="3" fillId="8" borderId="2" xfId="1" applyNumberFormat="1" applyFont="1" applyFill="1" applyBorder="1" applyAlignment="1">
      <alignment horizontal="right" wrapText="1"/>
    </xf>
    <xf numFmtId="0" fontId="7" fillId="0" borderId="0" xfId="0" applyFont="1"/>
    <xf numFmtId="0" fontId="7" fillId="9" borderId="0" xfId="0" applyFont="1" applyFill="1"/>
    <xf numFmtId="0" fontId="4" fillId="0" borderId="0" xfId="0" applyFont="1"/>
    <xf numFmtId="0" fontId="7" fillId="0" borderId="7" xfId="0" applyFont="1" applyBorder="1"/>
    <xf numFmtId="0" fontId="7" fillId="0" borderId="0" xfId="0" applyFont="1" applyFill="1"/>
    <xf numFmtId="0" fontId="7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7" fontId="2" fillId="9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9" borderId="8" xfId="0" applyNumberFormat="1" applyFont="1" applyFill="1" applyBorder="1" applyAlignment="1">
      <alignment horizontal="center" wrapText="1"/>
    </xf>
    <xf numFmtId="8" fontId="7" fillId="0" borderId="0" xfId="0" applyNumberFormat="1" applyFont="1" applyFill="1"/>
    <xf numFmtId="168" fontId="1" fillId="0" borderId="0" xfId="1" applyNumberFormat="1" applyFont="1" applyAlignment="1">
      <alignment horizontal="left"/>
    </xf>
    <xf numFmtId="40" fontId="7" fillId="0" borderId="0" xfId="0" applyNumberFormat="1" applyFont="1"/>
    <xf numFmtId="39" fontId="4" fillId="9" borderId="0" xfId="0" applyNumberFormat="1" applyFont="1" applyFill="1" applyAlignment="1">
      <alignment wrapText="1"/>
    </xf>
    <xf numFmtId="39" fontId="4" fillId="9" borderId="7" xfId="0" applyNumberFormat="1" applyFont="1" applyFill="1" applyBorder="1" applyAlignment="1">
      <alignment wrapText="1"/>
    </xf>
    <xf numFmtId="39" fontId="4" fillId="0" borderId="0" xfId="0" applyNumberFormat="1" applyFont="1" applyFill="1" applyAlignment="1">
      <alignment wrapText="1"/>
    </xf>
    <xf numFmtId="2" fontId="4" fillId="9" borderId="0" xfId="0" applyNumberFormat="1" applyFont="1" applyFill="1" applyAlignment="1">
      <alignment horizontal="right" wrapText="1"/>
    </xf>
    <xf numFmtId="2" fontId="4" fillId="9" borderId="7" xfId="0" applyNumberFormat="1" applyFont="1" applyFill="1" applyBorder="1" applyAlignment="1">
      <alignment horizontal="right" wrapText="1"/>
    </xf>
    <xf numFmtId="2" fontId="4" fillId="0" borderId="0" xfId="0" applyNumberFormat="1" applyFont="1" applyFill="1" applyAlignment="1">
      <alignment horizontal="right" wrapText="1"/>
    </xf>
    <xf numFmtId="0" fontId="7" fillId="3" borderId="0" xfId="0" applyFont="1" applyFill="1"/>
    <xf numFmtId="40" fontId="4" fillId="0" borderId="0" xfId="0" applyNumberFormat="1" applyFont="1"/>
    <xf numFmtId="40" fontId="4" fillId="9" borderId="7" xfId="0" applyNumberFormat="1" applyFont="1" applyFill="1" applyBorder="1" applyAlignment="1">
      <alignment horizontal="right" wrapText="1"/>
    </xf>
    <xf numFmtId="0" fontId="7" fillId="15" borderId="0" xfId="0" applyFont="1" applyFill="1"/>
    <xf numFmtId="40" fontId="4" fillId="3" borderId="0" xfId="0" applyNumberFormat="1" applyFont="1" applyFill="1" applyAlignment="1">
      <alignment horizontal="right" wrapText="1"/>
    </xf>
    <xf numFmtId="40" fontId="4" fillId="9" borderId="1" xfId="0" applyNumberFormat="1" applyFont="1" applyFill="1" applyBorder="1" applyAlignment="1">
      <alignment horizontal="right" wrapText="1"/>
    </xf>
    <xf numFmtId="7" fontId="3" fillId="9" borderId="2" xfId="1" applyNumberFormat="1" applyFont="1" applyFill="1" applyBorder="1" applyAlignment="1">
      <alignment horizontal="right" wrapText="1"/>
    </xf>
    <xf numFmtId="7" fontId="3" fillId="9" borderId="9" xfId="1" applyNumberFormat="1" applyFont="1" applyFill="1" applyBorder="1" applyAlignment="1">
      <alignment horizontal="right" wrapText="1"/>
    </xf>
    <xf numFmtId="7" fontId="3" fillId="0" borderId="2" xfId="1" applyNumberFormat="1" applyFont="1" applyFill="1" applyBorder="1" applyAlignment="1">
      <alignment horizontal="right" wrapText="1"/>
    </xf>
    <xf numFmtId="40" fontId="3" fillId="9" borderId="0" xfId="0" applyNumberFormat="1" applyFont="1" applyFill="1" applyBorder="1" applyAlignment="1">
      <alignment horizontal="right" wrapText="1"/>
    </xf>
    <xf numFmtId="40" fontId="3" fillId="9" borderId="7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 applyAlignment="1">
      <alignment horizontal="right" wrapText="1"/>
    </xf>
    <xf numFmtId="7" fontId="3" fillId="9" borderId="10" xfId="1" applyNumberFormat="1" applyFont="1" applyFill="1" applyBorder="1" applyAlignment="1">
      <alignment horizontal="right" wrapText="1"/>
    </xf>
    <xf numFmtId="7" fontId="3" fillId="9" borderId="3" xfId="1" applyNumberFormat="1" applyFont="1" applyFill="1" applyBorder="1" applyAlignment="1">
      <alignment horizontal="right" wrapText="1"/>
    </xf>
    <xf numFmtId="40" fontId="4" fillId="0" borderId="3" xfId="0" applyNumberFormat="1" applyFont="1" applyFill="1" applyBorder="1" applyAlignment="1">
      <alignment horizontal="right" wrapText="1"/>
    </xf>
    <xf numFmtId="40" fontId="3" fillId="9" borderId="9" xfId="0" applyNumberFormat="1" applyFont="1" applyFill="1" applyBorder="1" applyAlignment="1">
      <alignment horizontal="right" wrapText="1"/>
    </xf>
    <xf numFmtId="40" fontId="3" fillId="0" borderId="2" xfId="0" applyNumberFormat="1" applyFont="1" applyFill="1" applyBorder="1" applyAlignment="1">
      <alignment horizontal="right" wrapText="1"/>
    </xf>
    <xf numFmtId="40" fontId="4" fillId="9" borderId="0" xfId="0" applyNumberFormat="1" applyFont="1" applyFill="1" applyAlignment="1">
      <alignment wrapText="1"/>
    </xf>
    <xf numFmtId="40" fontId="4" fillId="9" borderId="7" xfId="0" applyNumberFormat="1" applyFont="1" applyFill="1" applyBorder="1" applyAlignment="1">
      <alignment wrapText="1"/>
    </xf>
    <xf numFmtId="40" fontId="4" fillId="0" borderId="0" xfId="0" applyNumberFormat="1" applyFont="1" applyFill="1" applyAlignment="1">
      <alignment wrapText="1"/>
    </xf>
    <xf numFmtId="40" fontId="4" fillId="9" borderId="0" xfId="0" applyNumberFormat="1" applyFont="1" applyFill="1" applyBorder="1" applyAlignment="1">
      <alignment horizontal="right" wrapText="1"/>
    </xf>
    <xf numFmtId="40" fontId="4" fillId="15" borderId="0" xfId="0" applyNumberFormat="1" applyFont="1" applyFill="1" applyAlignment="1">
      <alignment horizontal="right" wrapText="1"/>
    </xf>
    <xf numFmtId="0" fontId="7" fillId="9" borderId="7" xfId="0" applyFont="1" applyFill="1" applyBorder="1"/>
    <xf numFmtId="40" fontId="4" fillId="0" borderId="11" xfId="0" applyNumberFormat="1" applyFont="1" applyBorder="1"/>
    <xf numFmtId="40" fontId="4" fillId="0" borderId="0" xfId="0" applyNumberFormat="1" applyFont="1" applyBorder="1"/>
    <xf numFmtId="40" fontId="4" fillId="9" borderId="7" xfId="0" applyNumberFormat="1" applyFont="1" applyFill="1" applyBorder="1"/>
    <xf numFmtId="40" fontId="4" fillId="9" borderId="0" xfId="0" applyNumberFormat="1" applyFont="1" applyFill="1"/>
    <xf numFmtId="7" fontId="3" fillId="0" borderId="3" xfId="1" applyNumberFormat="1" applyFont="1" applyFill="1" applyBorder="1" applyAlignment="1">
      <alignment horizontal="right" wrapText="1"/>
    </xf>
    <xf numFmtId="7" fontId="3" fillId="0" borderId="0" xfId="1" applyNumberFormat="1" applyFont="1" applyFill="1" applyBorder="1" applyAlignment="1">
      <alignment horizontal="right" wrapText="1"/>
    </xf>
    <xf numFmtId="40" fontId="4" fillId="9" borderId="3" xfId="0" applyNumberFormat="1" applyFont="1" applyFill="1" applyBorder="1" applyAlignment="1">
      <alignment horizontal="right" wrapText="1"/>
    </xf>
    <xf numFmtId="8" fontId="3" fillId="9" borderId="3" xfId="1" applyNumberFormat="1" applyFont="1" applyFill="1" applyBorder="1" applyAlignment="1">
      <alignment horizontal="right" wrapText="1"/>
    </xf>
    <xf numFmtId="8" fontId="3" fillId="9" borderId="10" xfId="1" applyNumberFormat="1" applyFont="1" applyFill="1" applyBorder="1" applyAlignment="1">
      <alignment horizontal="right" wrapText="1"/>
    </xf>
    <xf numFmtId="8" fontId="3" fillId="10" borderId="3" xfId="1" applyNumberFormat="1" applyFont="1" applyFill="1" applyBorder="1" applyAlignment="1">
      <alignment horizontal="right" wrapText="1"/>
    </xf>
    <xf numFmtId="8" fontId="3" fillId="9" borderId="0" xfId="0" applyNumberFormat="1" applyFont="1" applyFill="1"/>
    <xf numFmtId="40" fontId="3" fillId="9" borderId="0" xfId="0" applyNumberFormat="1" applyFont="1" applyFill="1"/>
    <xf numFmtId="8" fontId="3" fillId="9" borderId="7" xfId="0" applyNumberFormat="1" applyFont="1" applyFill="1" applyBorder="1"/>
    <xf numFmtId="8" fontId="3" fillId="10" borderId="0" xfId="0" applyNumberFormat="1" applyFont="1" applyFill="1"/>
    <xf numFmtId="40" fontId="3" fillId="0" borderId="0" xfId="0" applyNumberFormat="1" applyFont="1" applyFill="1"/>
    <xf numFmtId="8" fontId="7" fillId="9" borderId="0" xfId="0" applyNumberFormat="1" applyFont="1" applyFill="1"/>
    <xf numFmtId="8" fontId="7" fillId="0" borderId="0" xfId="0" applyNumberFormat="1" applyFont="1"/>
    <xf numFmtId="40" fontId="7" fillId="9" borderId="0" xfId="0" applyNumberFormat="1" applyFont="1" applyFill="1"/>
    <xf numFmtId="8" fontId="7" fillId="9" borderId="7" xfId="0" applyNumberFormat="1" applyFont="1" applyFill="1" applyBorder="1"/>
    <xf numFmtId="40" fontId="7" fillId="0" borderId="0" xfId="0" applyNumberFormat="1" applyFont="1" applyFill="1"/>
    <xf numFmtId="40" fontId="9" fillId="9" borderId="0" xfId="0" applyNumberFormat="1" applyFont="1" applyFill="1"/>
    <xf numFmtId="40" fontId="9" fillId="0" borderId="0" xfId="0" applyNumberFormat="1" applyFont="1" applyFill="1"/>
    <xf numFmtId="8" fontId="3" fillId="0" borderId="0" xfId="0" applyNumberFormat="1" applyFont="1" applyFill="1"/>
    <xf numFmtId="0" fontId="3" fillId="3" borderId="0" xfId="0" applyFont="1" applyFill="1"/>
    <xf numFmtId="8" fontId="3" fillId="3" borderId="0" xfId="0" applyNumberFormat="1" applyFont="1" applyFill="1"/>
    <xf numFmtId="8" fontId="3" fillId="3" borderId="7" xfId="0" applyNumberFormat="1" applyFont="1" applyFill="1" applyBorder="1"/>
    <xf numFmtId="8" fontId="3" fillId="0" borderId="0" xfId="0" applyNumberFormat="1" applyFont="1" applyAlignment="1">
      <alignment horizontal="right"/>
    </xf>
    <xf numFmtId="6" fontId="7" fillId="0" borderId="0" xfId="0" applyNumberFormat="1" applyFont="1"/>
    <xf numFmtId="0" fontId="2" fillId="0" borderId="3" xfId="0" applyFont="1" applyBorder="1" applyAlignment="1">
      <alignment horizontal="center" wrapText="1"/>
    </xf>
    <xf numFmtId="39" fontId="4" fillId="0" borderId="0" xfId="0" applyNumberFormat="1" applyFont="1" applyAlignment="1">
      <alignment horizontal="right" wrapText="1"/>
    </xf>
    <xf numFmtId="43" fontId="4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43" fillId="0" borderId="0" xfId="0" applyFont="1" applyFill="1" applyAlignment="1">
      <alignment horizontal="center"/>
    </xf>
    <xf numFmtId="39" fontId="11" fillId="0" borderId="12" xfId="0" applyNumberFormat="1" applyFont="1" applyFill="1" applyBorder="1" applyAlignment="1">
      <alignment horizontal="right" wrapText="1"/>
    </xf>
    <xf numFmtId="0" fontId="48" fillId="0" borderId="0" xfId="0" applyFont="1" applyFill="1"/>
    <xf numFmtId="0" fontId="31" fillId="0" borderId="0" xfId="0" applyFont="1" applyFill="1" applyBorder="1"/>
    <xf numFmtId="0" fontId="11" fillId="0" borderId="0" xfId="0" applyFont="1" applyFill="1" applyBorder="1"/>
    <xf numFmtId="39" fontId="2" fillId="0" borderId="0" xfId="0" applyNumberFormat="1" applyFont="1" applyFill="1" applyAlignment="1">
      <alignment wrapText="1"/>
    </xf>
    <xf numFmtId="39" fontId="7" fillId="0" borderId="0" xfId="0" applyNumberFormat="1" applyFont="1" applyFill="1"/>
    <xf numFmtId="0" fontId="2" fillId="3" borderId="0" xfId="0" applyFont="1" applyFill="1"/>
    <xf numFmtId="39" fontId="2" fillId="3" borderId="0" xfId="0" applyNumberFormat="1" applyFont="1" applyFill="1"/>
    <xf numFmtId="39" fontId="2" fillId="3" borderId="0" xfId="0" applyNumberFormat="1" applyFont="1" applyFill="1" applyAlignment="1">
      <alignment wrapText="1"/>
    </xf>
    <xf numFmtId="0" fontId="48" fillId="3" borderId="0" xfId="0" applyFont="1" applyFill="1"/>
    <xf numFmtId="0" fontId="7" fillId="0" borderId="0" xfId="0" applyFont="1" applyFill="1" applyBorder="1"/>
    <xf numFmtId="39" fontId="11" fillId="0" borderId="11" xfId="0" applyNumberFormat="1" applyFont="1" applyFill="1" applyBorder="1"/>
    <xf numFmtId="39" fontId="11" fillId="0" borderId="11" xfId="0" applyNumberFormat="1" applyFont="1" applyFill="1" applyBorder="1" applyAlignment="1">
      <alignment horizontal="right" wrapText="1"/>
    </xf>
    <xf numFmtId="39" fontId="2" fillId="0" borderId="26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" fontId="11" fillId="0" borderId="0" xfId="0" applyNumberFormat="1" applyFont="1" applyFill="1"/>
    <xf numFmtId="39" fontId="2" fillId="0" borderId="11" xfId="0" applyNumberFormat="1" applyFont="1" applyFill="1" applyBorder="1"/>
    <xf numFmtId="39" fontId="2" fillId="0" borderId="11" xfId="0" applyNumberFormat="1" applyFont="1" applyFill="1" applyBorder="1" applyAlignment="1">
      <alignment horizontal="right" wrapText="1"/>
    </xf>
    <xf numFmtId="39" fontId="31" fillId="0" borderId="11" xfId="0" applyNumberFormat="1" applyFont="1" applyFill="1" applyBorder="1"/>
    <xf numFmtId="39" fontId="2" fillId="0" borderId="26" xfId="0" applyNumberFormat="1" applyFont="1" applyFill="1" applyBorder="1" applyAlignment="1">
      <alignment horizontal="right" wrapText="1"/>
    </xf>
    <xf numFmtId="39" fontId="11" fillId="0" borderId="11" xfId="0" applyNumberFormat="1" applyFont="1" applyFill="1" applyBorder="1" applyAlignment="1">
      <alignment wrapText="1"/>
    </xf>
    <xf numFmtId="4" fontId="11" fillId="0" borderId="11" xfId="0" applyNumberFormat="1" applyFont="1" applyFill="1" applyBorder="1"/>
    <xf numFmtId="39" fontId="11" fillId="0" borderId="27" xfId="0" applyNumberFormat="1" applyFont="1" applyFill="1" applyBorder="1" applyAlignment="1">
      <alignment horizontal="right" wrapText="1"/>
    </xf>
    <xf numFmtId="39" fontId="2" fillId="3" borderId="11" xfId="0" applyNumberFormat="1" applyFont="1" applyFill="1" applyBorder="1"/>
    <xf numFmtId="6" fontId="2" fillId="0" borderId="11" xfId="0" applyNumberFormat="1" applyFont="1" applyFill="1" applyBorder="1"/>
    <xf numFmtId="0" fontId="56" fillId="19" borderId="0" xfId="47" applyFont="1"/>
    <xf numFmtId="0" fontId="57" fillId="21" borderId="0" xfId="49" applyFont="1"/>
    <xf numFmtId="0" fontId="58" fillId="20" borderId="0" xfId="48" applyFont="1"/>
    <xf numFmtId="0" fontId="56" fillId="19" borderId="14" xfId="47" applyFont="1" applyBorder="1"/>
    <xf numFmtId="39" fontId="56" fillId="19" borderId="14" xfId="47" applyNumberFormat="1" applyFont="1" applyBorder="1"/>
    <xf numFmtId="39" fontId="57" fillId="21" borderId="11" xfId="49" applyNumberFormat="1" applyFont="1" applyBorder="1"/>
    <xf numFmtId="39" fontId="58" fillId="20" borderId="0" xfId="48" applyNumberFormat="1" applyFont="1"/>
    <xf numFmtId="39" fontId="57" fillId="21" borderId="14" xfId="49" applyNumberFormat="1" applyFont="1" applyBorder="1"/>
    <xf numFmtId="39" fontId="56" fillId="19" borderId="13" xfId="47" applyNumberFormat="1" applyFont="1" applyBorder="1" applyAlignment="1">
      <alignment horizontal="right" wrapText="1"/>
    </xf>
    <xf numFmtId="39" fontId="57" fillId="21" borderId="26" xfId="49" applyNumberFormat="1" applyFont="1" applyBorder="1" applyAlignment="1">
      <alignment horizontal="right" wrapText="1"/>
    </xf>
    <xf numFmtId="39" fontId="56" fillId="19" borderId="7" xfId="47" applyNumberFormat="1" applyFont="1" applyBorder="1"/>
    <xf numFmtId="39" fontId="58" fillId="20" borderId="0" xfId="48" applyNumberFormat="1" applyFont="1" applyBorder="1"/>
    <xf numFmtId="39" fontId="58" fillId="20" borderId="2" xfId="48" applyNumberFormat="1" applyFont="1" applyBorder="1"/>
    <xf numFmtId="39" fontId="56" fillId="19" borderId="14" xfId="47" applyNumberFormat="1" applyFont="1" applyBorder="1" applyAlignment="1">
      <alignment horizontal="right" wrapText="1"/>
    </xf>
    <xf numFmtId="39" fontId="57" fillId="21" borderId="11" xfId="49" applyNumberFormat="1" applyFont="1" applyBorder="1" applyAlignment="1">
      <alignment horizontal="right" wrapText="1"/>
    </xf>
    <xf numFmtId="39" fontId="56" fillId="19" borderId="9" xfId="47" applyNumberFormat="1" applyFont="1" applyBorder="1" applyAlignment="1">
      <alignment horizontal="right" wrapText="1"/>
    </xf>
    <xf numFmtId="39" fontId="57" fillId="21" borderId="13" xfId="49" applyNumberFormat="1" applyFont="1" applyBorder="1"/>
    <xf numFmtId="4" fontId="56" fillId="19" borderId="14" xfId="47" applyNumberFormat="1" applyFont="1" applyBorder="1" applyAlignment="1">
      <alignment horizontal="right" wrapText="1"/>
    </xf>
    <xf numFmtId="39" fontId="56" fillId="19" borderId="14" xfId="47" applyNumberFormat="1" applyFont="1" applyBorder="1" applyAlignment="1">
      <alignment horizontal="right"/>
    </xf>
    <xf numFmtId="0" fontId="57" fillId="21" borderId="11" xfId="49" applyFont="1" applyBorder="1"/>
    <xf numFmtId="39" fontId="56" fillId="19" borderId="0" xfId="47" applyNumberFormat="1" applyFont="1"/>
    <xf numFmtId="39" fontId="11" fillId="0" borderId="0" xfId="0" applyNumberFormat="1" applyFont="1" applyFill="1" applyBorder="1" applyAlignment="1">
      <alignment wrapText="1"/>
    </xf>
    <xf numFmtId="39" fontId="31" fillId="0" borderId="0" xfId="0" applyNumberFormat="1" applyFont="1" applyFill="1" applyBorder="1"/>
    <xf numFmtId="39" fontId="2" fillId="3" borderId="0" xfId="0" applyNumberFormat="1" applyFont="1" applyFill="1" applyBorder="1"/>
    <xf numFmtId="6" fontId="2" fillId="0" borderId="0" xfId="0" applyNumberFormat="1" applyFont="1" applyFill="1" applyBorder="1"/>
    <xf numFmtId="0" fontId="10" fillId="0" borderId="32" xfId="0" applyFont="1" applyFill="1" applyBorder="1" applyAlignment="1">
      <alignment horizontal="left"/>
    </xf>
    <xf numFmtId="39" fontId="10" fillId="0" borderId="32" xfId="0" applyNumberFormat="1" applyFont="1" applyFill="1" applyBorder="1" applyAlignment="1">
      <alignment horizontal="left"/>
    </xf>
    <xf numFmtId="0" fontId="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/>
    </xf>
    <xf numFmtId="0" fontId="51" fillId="0" borderId="32" xfId="0" applyFont="1" applyFill="1" applyBorder="1" applyAlignment="1">
      <alignment horizontal="left" wrapText="1"/>
    </xf>
    <xf numFmtId="7" fontId="2" fillId="0" borderId="32" xfId="1" applyNumberFormat="1" applyFont="1" applyFill="1" applyBorder="1" applyAlignment="1">
      <alignment horizontal="left" wrapText="1"/>
    </xf>
    <xf numFmtId="0" fontId="49" fillId="0" borderId="32" xfId="0" applyFont="1" applyFill="1" applyBorder="1" applyAlignment="1">
      <alignment horizontal="left" wrapText="1"/>
    </xf>
    <xf numFmtId="0" fontId="50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6"/>
    </xf>
    <xf numFmtId="0" fontId="2" fillId="0" borderId="32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0" fontId="60" fillId="19" borderId="34" xfId="47" applyFont="1" applyBorder="1" applyAlignment="1">
      <alignment horizontal="center" vertical="center"/>
    </xf>
    <xf numFmtId="0" fontId="61" fillId="21" borderId="17" xfId="49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2" fillId="20" borderId="17" xfId="48" applyFont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17" fontId="2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wrapText="1"/>
    </xf>
    <xf numFmtId="0" fontId="31" fillId="0" borderId="2" xfId="0" applyFont="1" applyFill="1" applyBorder="1"/>
    <xf numFmtId="39" fontId="60" fillId="19" borderId="13" xfId="47" applyNumberFormat="1" applyFont="1" applyBorder="1" applyAlignment="1">
      <alignment horizontal="right" wrapText="1"/>
    </xf>
    <xf numFmtId="39" fontId="61" fillId="21" borderId="26" xfId="49" applyNumberFormat="1" applyFont="1" applyBorder="1" applyAlignment="1">
      <alignment horizontal="right" wrapText="1"/>
    </xf>
    <xf numFmtId="39" fontId="62" fillId="20" borderId="2" xfId="48" applyNumberFormat="1" applyFont="1" applyBorder="1"/>
    <xf numFmtId="0" fontId="11" fillId="0" borderId="0" xfId="0" applyFont="1" applyFill="1" applyBorder="1" applyAlignment="1">
      <alignment horizontal="left" wrapText="1"/>
    </xf>
    <xf numFmtId="39" fontId="56" fillId="19" borderId="0" xfId="47" applyNumberFormat="1" applyFont="1" applyBorder="1"/>
    <xf numFmtId="39" fontId="57" fillId="21" borderId="0" xfId="49" applyNumberFormat="1" applyFont="1" applyBorder="1"/>
    <xf numFmtId="0" fontId="2" fillId="22" borderId="37" xfId="0" applyFont="1" applyFill="1" applyBorder="1" applyAlignment="1">
      <alignment horizontal="left" wrapText="1"/>
    </xf>
    <xf numFmtId="39" fontId="2" fillId="22" borderId="36" xfId="1" applyNumberFormat="1" applyFont="1" applyFill="1" applyBorder="1" applyAlignment="1">
      <alignment horizontal="right" wrapText="1"/>
    </xf>
    <xf numFmtId="39" fontId="2" fillId="22" borderId="39" xfId="1" applyNumberFormat="1" applyFont="1" applyFill="1" applyBorder="1" applyAlignment="1">
      <alignment horizontal="right" wrapText="1"/>
    </xf>
    <xf numFmtId="39" fontId="60" fillId="22" borderId="43" xfId="47" applyNumberFormat="1" applyFont="1" applyFill="1" applyBorder="1" applyAlignment="1">
      <alignment horizontal="right" wrapText="1"/>
    </xf>
    <xf numFmtId="39" fontId="61" fillId="22" borderId="43" xfId="49" applyNumberFormat="1" applyFont="1" applyFill="1" applyBorder="1" applyAlignment="1">
      <alignment horizontal="right" wrapText="1"/>
    </xf>
    <xf numFmtId="39" fontId="2" fillId="22" borderId="36" xfId="0" applyNumberFormat="1" applyFont="1" applyFill="1" applyBorder="1"/>
    <xf numFmtId="39" fontId="62" fillId="22" borderId="36" xfId="48" applyNumberFormat="1" applyFont="1" applyFill="1" applyBorder="1"/>
    <xf numFmtId="0" fontId="31" fillId="22" borderId="0" xfId="0" applyFont="1" applyFill="1"/>
    <xf numFmtId="39" fontId="2" fillId="22" borderId="38" xfId="1" applyNumberFormat="1" applyFont="1" applyFill="1" applyBorder="1" applyAlignment="1">
      <alignment horizontal="right" wrapText="1"/>
    </xf>
    <xf numFmtId="39" fontId="56" fillId="22" borderId="40" xfId="47" applyNumberFormat="1" applyFont="1" applyFill="1" applyBorder="1"/>
    <xf numFmtId="39" fontId="57" fillId="22" borderId="41" xfId="49" applyNumberFormat="1" applyFont="1" applyFill="1" applyBorder="1"/>
    <xf numFmtId="39" fontId="2" fillId="22" borderId="38" xfId="0" applyNumberFormat="1" applyFont="1" applyFill="1" applyBorder="1"/>
    <xf numFmtId="39" fontId="58" fillId="22" borderId="36" xfId="48" applyNumberFormat="1" applyFont="1" applyFill="1" applyBorder="1"/>
    <xf numFmtId="0" fontId="48" fillId="22" borderId="0" xfId="0" applyFont="1" applyFill="1"/>
    <xf numFmtId="0" fontId="2" fillId="23" borderId="42" xfId="0" applyFont="1" applyFill="1" applyBorder="1" applyAlignment="1">
      <alignment horizontal="left" wrapText="1"/>
    </xf>
    <xf numFmtId="39" fontId="2" fillId="23" borderId="28" xfId="1" applyNumberFormat="1" applyFont="1" applyFill="1" applyBorder="1" applyAlignment="1">
      <alignment horizontal="right" wrapText="1"/>
    </xf>
    <xf numFmtId="39" fontId="2" fillId="23" borderId="29" xfId="1" applyNumberFormat="1" applyFont="1" applyFill="1" applyBorder="1" applyAlignment="1">
      <alignment horizontal="right" wrapText="1"/>
    </xf>
    <xf numFmtId="39" fontId="56" fillId="23" borderId="30" xfId="47" applyNumberFormat="1" applyFont="1" applyFill="1" applyBorder="1" applyAlignment="1">
      <alignment horizontal="right" wrapText="1"/>
    </xf>
    <xf numFmtId="39" fontId="57" fillId="23" borderId="29" xfId="49" applyNumberFormat="1" applyFont="1" applyFill="1" applyBorder="1" applyAlignment="1">
      <alignment horizontal="right" wrapText="1"/>
    </xf>
    <xf numFmtId="0" fontId="11" fillId="23" borderId="28" xfId="0" applyFont="1" applyFill="1" applyBorder="1"/>
    <xf numFmtId="39" fontId="58" fillId="23" borderId="31" xfId="48" applyNumberFormat="1" applyFont="1" applyFill="1" applyBorder="1"/>
    <xf numFmtId="0" fontId="31" fillId="23" borderId="0" xfId="0" applyFont="1" applyFill="1"/>
    <xf numFmtId="39" fontId="56" fillId="19" borderId="11" xfId="47" applyNumberFormat="1" applyFont="1" applyBorder="1" applyAlignment="1">
      <alignment horizontal="right" wrapText="1"/>
    </xf>
    <xf numFmtId="39" fontId="56" fillId="19" borderId="11" xfId="47" applyNumberFormat="1" applyFont="1" applyBorder="1"/>
    <xf numFmtId="39" fontId="2" fillId="0" borderId="0" xfId="1" applyNumberFormat="1" applyFont="1" applyFill="1" applyBorder="1" applyAlignment="1">
      <alignment horizontal="right" wrapText="1"/>
    </xf>
    <xf numFmtId="39" fontId="56" fillId="11" borderId="14" xfId="47" applyNumberFormat="1" applyFont="1" applyFill="1" applyBorder="1"/>
    <xf numFmtId="44" fontId="0" fillId="0" borderId="0" xfId="0" applyNumberFormat="1"/>
    <xf numFmtId="8" fontId="0" fillId="0" borderId="0" xfId="1" applyNumberFormat="1" applyFont="1"/>
    <xf numFmtId="0" fontId="0" fillId="24" borderId="0" xfId="0" applyFill="1"/>
    <xf numFmtId="17" fontId="0" fillId="0" borderId="0" xfId="0" applyNumberFormat="1" applyAlignment="1">
      <alignment wrapText="1"/>
    </xf>
    <xf numFmtId="0" fontId="0" fillId="0" borderId="0" xfId="0" applyFill="1"/>
    <xf numFmtId="0" fontId="7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22" borderId="0" xfId="0" applyFont="1" applyFill="1" applyAlignment="1">
      <alignment horizontal="left" vertical="top" wrapText="1"/>
    </xf>
    <xf numFmtId="40" fontId="11" fillId="0" borderId="0" xfId="0" applyNumberFormat="1" applyFont="1" applyFill="1" applyBorder="1" applyAlignment="1">
      <alignment horizontal="left" vertical="top" wrapText="1"/>
    </xf>
    <xf numFmtId="39" fontId="11" fillId="0" borderId="0" xfId="0" applyNumberFormat="1" applyFont="1" applyFill="1" applyAlignment="1">
      <alignment horizontal="left" vertical="top" wrapText="1"/>
    </xf>
    <xf numFmtId="39" fontId="31" fillId="0" borderId="0" xfId="0" applyNumberFormat="1" applyFont="1" applyFill="1" applyAlignment="1">
      <alignment horizontal="left" vertical="top" wrapText="1"/>
    </xf>
    <xf numFmtId="0" fontId="48" fillId="22" borderId="0" xfId="0" applyFont="1" applyFill="1" applyAlignment="1">
      <alignment horizontal="left" vertical="top" wrapText="1"/>
    </xf>
    <xf numFmtId="0" fontId="31" fillId="2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8" fillId="3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left" vertical="top" wrapText="1"/>
    </xf>
    <xf numFmtId="39" fontId="11" fillId="0" borderId="0" xfId="0" applyNumberFormat="1" applyFont="1" applyFill="1" applyBorder="1" applyAlignment="1">
      <alignment horizontal="right" vertical="top" wrapText="1"/>
    </xf>
    <xf numFmtId="39" fontId="11" fillId="0" borderId="0" xfId="0" applyNumberFormat="1" applyFont="1" applyFill="1" applyAlignment="1">
      <alignment horizontal="right" vertical="top" wrapText="1"/>
    </xf>
    <xf numFmtId="39" fontId="11" fillId="0" borderId="11" xfId="0" applyNumberFormat="1" applyFont="1" applyFill="1" applyBorder="1" applyAlignment="1">
      <alignment horizontal="right" vertical="top" wrapText="1"/>
    </xf>
    <xf numFmtId="39" fontId="56" fillId="19" borderId="14" xfId="47" applyNumberFormat="1" applyFont="1" applyBorder="1" applyAlignment="1">
      <alignment vertical="top"/>
    </xf>
    <xf numFmtId="39" fontId="57" fillId="21" borderId="11" xfId="49" applyNumberFormat="1" applyFont="1" applyBorder="1" applyAlignment="1">
      <alignment vertical="top"/>
    </xf>
    <xf numFmtId="39" fontId="11" fillId="0" borderId="0" xfId="0" applyNumberFormat="1" applyFont="1" applyFill="1" applyAlignment="1">
      <alignment vertical="top"/>
    </xf>
    <xf numFmtId="39" fontId="58" fillId="20" borderId="0" xfId="48" applyNumberFormat="1" applyFont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2" xfId="0" applyFont="1" applyFill="1" applyBorder="1" applyAlignment="1">
      <alignment vertical="top" wrapText="1"/>
    </xf>
    <xf numFmtId="0" fontId="31" fillId="22" borderId="0" xfId="0" applyFont="1" applyFill="1" applyAlignment="1">
      <alignment vertical="top" wrapText="1"/>
    </xf>
    <xf numFmtId="40" fontId="11" fillId="0" borderId="0" xfId="0" applyNumberFormat="1" applyFont="1" applyFill="1" applyBorder="1" applyAlignment="1">
      <alignment horizontal="right" vertical="top" wrapText="1"/>
    </xf>
    <xf numFmtId="39" fontId="31" fillId="0" borderId="0" xfId="0" applyNumberFormat="1" applyFont="1" applyFill="1" applyAlignment="1">
      <alignment vertical="top" wrapText="1"/>
    </xf>
    <xf numFmtId="0" fontId="48" fillId="22" borderId="0" xfId="0" applyFont="1" applyFill="1" applyAlignment="1">
      <alignment vertical="top" wrapText="1"/>
    </xf>
    <xf numFmtId="0" fontId="31" fillId="23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8" fillId="3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39" fontId="57" fillId="8" borderId="11" xfId="49" applyNumberFormat="1" applyFont="1" applyFill="1" applyBorder="1"/>
    <xf numFmtId="39" fontId="58" fillId="26" borderId="0" xfId="48" applyNumberFormat="1" applyFont="1" applyFill="1"/>
    <xf numFmtId="39" fontId="11" fillId="11" borderId="0" xfId="0" applyNumberFormat="1" applyFont="1" applyFill="1" applyAlignment="1">
      <alignment horizontal="right" vertical="center" wrapText="1"/>
    </xf>
    <xf numFmtId="39" fontId="11" fillId="11" borderId="0" xfId="0" applyNumberFormat="1" applyFont="1" applyFill="1" applyAlignment="1">
      <alignment vertical="center"/>
    </xf>
    <xf numFmtId="0" fontId="31" fillId="11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11" fillId="0" borderId="32" xfId="0" applyFont="1" applyFill="1" applyBorder="1" applyAlignment="1">
      <alignment horizontal="left" vertical="center" wrapText="1"/>
    </xf>
    <xf numFmtId="39" fontId="11" fillId="0" borderId="0" xfId="0" applyNumberFormat="1" applyFont="1" applyFill="1" applyBorder="1" applyAlignment="1">
      <alignment horizontal="right" vertical="center" wrapText="1"/>
    </xf>
    <xf numFmtId="39" fontId="11" fillId="0" borderId="0" xfId="0" applyNumberFormat="1" applyFont="1" applyFill="1" applyAlignment="1">
      <alignment horizontal="right" vertical="center" wrapText="1"/>
    </xf>
    <xf numFmtId="39" fontId="11" fillId="0" borderId="11" xfId="0" applyNumberFormat="1" applyFont="1" applyFill="1" applyBorder="1" applyAlignment="1">
      <alignment horizontal="right" vertical="center" wrapText="1"/>
    </xf>
    <xf numFmtId="39" fontId="57" fillId="21" borderId="11" xfId="49" applyNumberFormat="1" applyFont="1" applyBorder="1" applyAlignment="1">
      <alignment vertical="center"/>
    </xf>
    <xf numFmtId="39" fontId="11" fillId="0" borderId="0" xfId="0" applyNumberFormat="1" applyFont="1" applyFill="1" applyAlignment="1">
      <alignment vertical="center"/>
    </xf>
    <xf numFmtId="39" fontId="58" fillId="20" borderId="0" xfId="48" applyNumberFormat="1" applyFont="1" applyAlignment="1">
      <alignment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39" fontId="57" fillId="8" borderId="11" xfId="49" applyNumberFormat="1" applyFont="1" applyFill="1" applyBorder="1" applyAlignment="1">
      <alignment vertical="center"/>
    </xf>
    <xf numFmtId="39" fontId="57" fillId="27" borderId="11" xfId="49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8" fillId="26" borderId="0" xfId="48" applyFont="1" applyFill="1"/>
    <xf numFmtId="0" fontId="62" fillId="26" borderId="17" xfId="48" applyFont="1" applyFill="1" applyBorder="1" applyAlignment="1">
      <alignment horizontal="center" vertical="center" wrapText="1"/>
    </xf>
    <xf numFmtId="39" fontId="58" fillId="26" borderId="0" xfId="48" applyNumberFormat="1" applyFont="1" applyFill="1" applyAlignment="1">
      <alignment vertical="center"/>
    </xf>
    <xf numFmtId="0" fontId="43" fillId="0" borderId="0" xfId="0" applyFont="1" applyFill="1" applyBorder="1" applyAlignment="1">
      <alignment horizontal="center"/>
    </xf>
    <xf numFmtId="4" fontId="11" fillId="0" borderId="0" xfId="0" applyNumberFormat="1" applyFont="1" applyFill="1" applyBorder="1"/>
    <xf numFmtId="39" fontId="2" fillId="23" borderId="0" xfId="1" applyNumberFormat="1" applyFont="1" applyFill="1" applyBorder="1" applyAlignment="1">
      <alignment horizontal="right" wrapText="1"/>
    </xf>
    <xf numFmtId="39" fontId="2" fillId="0" borderId="0" xfId="0" applyNumberFormat="1" applyFont="1" applyFill="1" applyBorder="1" applyAlignment="1">
      <alignment wrapText="1"/>
    </xf>
    <xf numFmtId="39" fontId="2" fillId="3" borderId="0" xfId="0" applyNumberFormat="1" applyFont="1" applyFill="1" applyBorder="1" applyAlignment="1">
      <alignment wrapText="1"/>
    </xf>
    <xf numFmtId="8" fontId="7" fillId="0" borderId="0" xfId="0" applyNumberFormat="1" applyFont="1" applyFill="1" applyBorder="1"/>
    <xf numFmtId="39" fontId="7" fillId="0" borderId="0" xfId="0" applyNumberFormat="1" applyFont="1" applyFill="1" applyBorder="1"/>
    <xf numFmtId="0" fontId="20" fillId="0" borderId="0" xfId="0" applyFont="1" applyFill="1" applyBorder="1"/>
    <xf numFmtId="39" fontId="57" fillId="21" borderId="11" xfId="49" applyNumberFormat="1" applyFont="1" applyBorder="1" applyAlignment="1">
      <alignment horizontal="right" vertical="center" wrapText="1"/>
    </xf>
    <xf numFmtId="39" fontId="2" fillId="0" borderId="0" xfId="0" applyNumberFormat="1" applyFont="1" applyFill="1" applyAlignment="1">
      <alignment vertical="center"/>
    </xf>
    <xf numFmtId="39" fontId="56" fillId="19" borderId="14" xfId="47" applyNumberFormat="1" applyFont="1" applyBorder="1" applyAlignment="1">
      <alignment vertical="center"/>
    </xf>
    <xf numFmtId="0" fontId="65" fillId="0" borderId="32" xfId="0" applyFont="1" applyFill="1" applyBorder="1" applyAlignment="1">
      <alignment horizontal="left" wrapText="1"/>
    </xf>
    <xf numFmtId="0" fontId="65" fillId="0" borderId="44" xfId="0" applyFont="1" applyFill="1" applyBorder="1" applyAlignment="1">
      <alignment horizontal="left" wrapText="1"/>
    </xf>
    <xf numFmtId="0" fontId="31" fillId="0" borderId="32" xfId="0" applyFont="1" applyFill="1" applyBorder="1"/>
    <xf numFmtId="0" fontId="2" fillId="23" borderId="32" xfId="0" applyFont="1" applyFill="1" applyBorder="1" applyAlignment="1">
      <alignment horizontal="left" wrapText="1"/>
    </xf>
    <xf numFmtId="39" fontId="2" fillId="23" borderId="11" xfId="1" applyNumberFormat="1" applyFont="1" applyFill="1" applyBorder="1" applyAlignment="1">
      <alignment horizontal="right" wrapText="1"/>
    </xf>
    <xf numFmtId="39" fontId="56" fillId="23" borderId="14" xfId="47" applyNumberFormat="1" applyFont="1" applyFill="1" applyBorder="1" applyAlignment="1">
      <alignment horizontal="right" wrapText="1"/>
    </xf>
    <xf numFmtId="39" fontId="57" fillId="23" borderId="11" xfId="49" applyNumberFormat="1" applyFont="1" applyFill="1" applyBorder="1" applyAlignment="1">
      <alignment horizontal="right" wrapText="1"/>
    </xf>
    <xf numFmtId="0" fontId="11" fillId="23" borderId="0" xfId="0" applyFont="1" applyFill="1" applyBorder="1"/>
    <xf numFmtId="39" fontId="58" fillId="23" borderId="0" xfId="48" applyNumberFormat="1" applyFont="1" applyFill="1" applyBorder="1"/>
    <xf numFmtId="0" fontId="64" fillId="23" borderId="42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center"/>
    </xf>
    <xf numFmtId="0" fontId="56" fillId="11" borderId="0" xfId="47" applyFont="1" applyFill="1"/>
    <xf numFmtId="0" fontId="60" fillId="11" borderId="34" xfId="47" applyFont="1" applyFill="1" applyBorder="1" applyAlignment="1">
      <alignment horizontal="center" vertical="center"/>
    </xf>
    <xf numFmtId="39" fontId="56" fillId="11" borderId="14" xfId="47" applyNumberFormat="1" applyFont="1" applyFill="1" applyBorder="1" applyAlignment="1">
      <alignment vertical="top"/>
    </xf>
    <xf numFmtId="39" fontId="56" fillId="11" borderId="14" xfId="47" applyNumberFormat="1" applyFont="1" applyFill="1" applyBorder="1" applyAlignment="1">
      <alignment vertical="center"/>
    </xf>
    <xf numFmtId="39" fontId="60" fillId="11" borderId="43" xfId="47" applyNumberFormat="1" applyFont="1" applyFill="1" applyBorder="1" applyAlignment="1">
      <alignment horizontal="right" wrapText="1"/>
    </xf>
    <xf numFmtId="39" fontId="63" fillId="11" borderId="14" xfId="47" applyNumberFormat="1" applyFont="1" applyFill="1" applyBorder="1"/>
    <xf numFmtId="39" fontId="56" fillId="11" borderId="14" xfId="47" applyNumberFormat="1" applyFont="1" applyFill="1" applyBorder="1" applyAlignment="1">
      <alignment horizontal="right" wrapText="1"/>
    </xf>
    <xf numFmtId="4" fontId="56" fillId="11" borderId="14" xfId="47" applyNumberFormat="1" applyFont="1" applyFill="1" applyBorder="1" applyAlignment="1">
      <alignment horizontal="right" wrapText="1"/>
    </xf>
    <xf numFmtId="39" fontId="56" fillId="11" borderId="14" xfId="47" applyNumberFormat="1" applyFont="1" applyFill="1" applyBorder="1" applyAlignment="1">
      <alignment horizontal="right"/>
    </xf>
    <xf numFmtId="39" fontId="56" fillId="11" borderId="11" xfId="47" applyNumberFormat="1" applyFont="1" applyFill="1" applyBorder="1" applyAlignment="1">
      <alignment horizontal="right" wrapText="1"/>
    </xf>
    <xf numFmtId="39" fontId="56" fillId="11" borderId="11" xfId="47" applyNumberFormat="1" applyFont="1" applyFill="1" applyBorder="1"/>
    <xf numFmtId="39" fontId="56" fillId="11" borderId="14" xfId="47" applyNumberFormat="1" applyFont="1" applyFill="1" applyBorder="1" applyAlignment="1">
      <alignment horizontal="right" vertical="center" wrapText="1"/>
    </xf>
    <xf numFmtId="39" fontId="56" fillId="11" borderId="30" xfId="47" applyNumberFormat="1" applyFont="1" applyFill="1" applyBorder="1" applyAlignment="1">
      <alignment horizontal="right" wrapText="1"/>
    </xf>
    <xf numFmtId="0" fontId="56" fillId="11" borderId="14" xfId="47" applyFont="1" applyFill="1" applyBorder="1"/>
    <xf numFmtId="39" fontId="56" fillId="11" borderId="0" xfId="47" applyNumberFormat="1" applyFont="1" applyFill="1"/>
    <xf numFmtId="0" fontId="11" fillId="0" borderId="32" xfId="0" applyFont="1" applyFill="1" applyBorder="1" applyAlignment="1">
      <alignment horizontal="left" wrapText="1" indent="7"/>
    </xf>
    <xf numFmtId="0" fontId="11" fillId="0" borderId="32" xfId="0" applyFont="1" applyFill="1" applyBorder="1" applyAlignment="1">
      <alignment horizontal="left" wrapText="1" indent="5"/>
    </xf>
    <xf numFmtId="39" fontId="57" fillId="21" borderId="13" xfId="49" applyNumberFormat="1" applyFont="1" applyBorder="1" applyAlignment="1"/>
    <xf numFmtId="39" fontId="56" fillId="19" borderId="13" xfId="47" applyNumberFormat="1" applyFont="1" applyBorder="1" applyAlignment="1">
      <alignment wrapText="1"/>
    </xf>
    <xf numFmtId="0" fontId="31" fillId="0" borderId="0" xfId="0" applyFont="1" applyFill="1" applyAlignment="1">
      <alignment horizontal="left" vertical="center" wrapText="1"/>
    </xf>
    <xf numFmtId="39" fontId="11" fillId="0" borderId="0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left" wrapText="1" indent="3"/>
    </xf>
    <xf numFmtId="0" fontId="64" fillId="0" borderId="46" xfId="0" applyFont="1" applyFill="1" applyBorder="1" applyAlignment="1">
      <alignment horizontal="left" wrapText="1"/>
    </xf>
    <xf numFmtId="39" fontId="11" fillId="0" borderId="1" xfId="0" applyNumberFormat="1" applyFont="1" applyFill="1" applyBorder="1" applyAlignment="1">
      <alignment wrapText="1"/>
    </xf>
    <xf numFmtId="39" fontId="11" fillId="0" borderId="45" xfId="0" applyNumberFormat="1" applyFont="1" applyFill="1" applyBorder="1" applyAlignment="1">
      <alignment wrapText="1"/>
    </xf>
    <xf numFmtId="39" fontId="2" fillId="0" borderId="11" xfId="1" applyNumberFormat="1" applyFont="1" applyFill="1" applyBorder="1" applyAlignment="1">
      <alignment horizontal="right" wrapText="1"/>
    </xf>
    <xf numFmtId="39" fontId="60" fillId="11" borderId="14" xfId="47" applyNumberFormat="1" applyFont="1" applyFill="1" applyBorder="1" applyAlignment="1">
      <alignment horizontal="right" wrapText="1"/>
    </xf>
    <xf numFmtId="39" fontId="61" fillId="21" borderId="11" xfId="49" applyNumberFormat="1" applyFont="1" applyBorder="1" applyAlignment="1">
      <alignment horizontal="right" wrapText="1"/>
    </xf>
    <xf numFmtId="39" fontId="60" fillId="11" borderId="11" xfId="47" applyNumberFormat="1" applyFont="1" applyFill="1" applyBorder="1" applyAlignment="1">
      <alignment horizontal="right" wrapText="1"/>
    </xf>
    <xf numFmtId="39" fontId="57" fillId="21" borderId="14" xfId="49" applyNumberFormat="1" applyFont="1" applyBorder="1" applyAlignment="1">
      <alignment horizontal="right" wrapText="1"/>
    </xf>
    <xf numFmtId="39" fontId="61" fillId="21" borderId="14" xfId="49" applyNumberFormat="1" applyFont="1" applyBorder="1" applyAlignment="1">
      <alignment horizontal="right" wrapText="1"/>
    </xf>
    <xf numFmtId="39" fontId="56" fillId="25" borderId="43" xfId="47" applyNumberFormat="1" applyFont="1" applyFill="1" applyBorder="1"/>
    <xf numFmtId="39" fontId="57" fillId="22" borderId="39" xfId="49" applyNumberFormat="1" applyFont="1" applyFill="1" applyBorder="1"/>
    <xf numFmtId="39" fontId="56" fillId="11" borderId="34" xfId="47" applyNumberFormat="1" applyFont="1" applyFill="1" applyBorder="1"/>
    <xf numFmtId="39" fontId="57" fillId="21" borderId="34" xfId="49" applyNumberFormat="1" applyFont="1" applyBorder="1"/>
    <xf numFmtId="0" fontId="66" fillId="23" borderId="48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left"/>
    </xf>
    <xf numFmtId="39" fontId="10" fillId="0" borderId="50" xfId="0" applyNumberFormat="1" applyFont="1" applyFill="1" applyBorder="1" applyAlignment="1">
      <alignment horizontal="left"/>
    </xf>
    <xf numFmtId="0" fontId="59" fillId="0" borderId="51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/>
    </xf>
    <xf numFmtId="0" fontId="51" fillId="0" borderId="50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left" vertical="center" wrapText="1"/>
    </xf>
    <xf numFmtId="0" fontId="2" fillId="22" borderId="52" xfId="0" applyFont="1" applyFill="1" applyBorder="1" applyAlignment="1">
      <alignment horizontal="left" wrapText="1"/>
    </xf>
    <xf numFmtId="0" fontId="67" fillId="0" borderId="50" xfId="0" applyFont="1" applyFill="1" applyBorder="1" applyAlignment="1">
      <alignment horizontal="left" wrapText="1"/>
    </xf>
    <xf numFmtId="7" fontId="2" fillId="0" borderId="50" xfId="1" applyNumberFormat="1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 indent="8"/>
    </xf>
    <xf numFmtId="0" fontId="49" fillId="0" borderId="50" xfId="0" applyFont="1" applyFill="1" applyBorder="1" applyAlignment="1">
      <alignment horizontal="left" wrapText="1"/>
    </xf>
    <xf numFmtId="0" fontId="50" fillId="0" borderId="50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 indent="6"/>
    </xf>
    <xf numFmtId="0" fontId="11" fillId="0" borderId="50" xfId="0" applyFont="1" applyFill="1" applyBorder="1" applyAlignment="1">
      <alignment horizontal="left" wrapText="1" indent="3"/>
    </xf>
    <xf numFmtId="0" fontId="11" fillId="0" borderId="50" xfId="0" applyFont="1" applyFill="1" applyBorder="1" applyAlignment="1">
      <alignment horizontal="left" wrapText="1" indent="7"/>
    </xf>
    <xf numFmtId="0" fontId="11" fillId="0" borderId="50" xfId="0" applyFont="1" applyFill="1" applyBorder="1" applyAlignment="1">
      <alignment horizontal="left" vertical="center" wrapText="1" indent="7"/>
    </xf>
    <xf numFmtId="0" fontId="2" fillId="0" borderId="50" xfId="0" applyFont="1" applyFill="1" applyBorder="1" applyAlignment="1">
      <alignment horizontal="left"/>
    </xf>
    <xf numFmtId="0" fontId="2" fillId="3" borderId="50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39" fontId="61" fillId="21" borderId="11" xfId="49" applyNumberFormat="1" applyFont="1" applyBorder="1"/>
    <xf numFmtId="0" fontId="11" fillId="18" borderId="0" xfId="0" applyFont="1" applyFill="1"/>
    <xf numFmtId="0" fontId="2" fillId="18" borderId="17" xfId="0" applyFont="1" applyFill="1" applyBorder="1" applyAlignment="1">
      <alignment horizontal="center" vertical="center"/>
    </xf>
    <xf numFmtId="39" fontId="57" fillId="18" borderId="11" xfId="49" applyNumberFormat="1" applyFont="1" applyFill="1" applyBorder="1"/>
    <xf numFmtId="39" fontId="57" fillId="18" borderId="14" xfId="49" applyNumberFormat="1" applyFont="1" applyFill="1" applyBorder="1"/>
    <xf numFmtId="39" fontId="61" fillId="18" borderId="26" xfId="49" applyNumberFormat="1" applyFont="1" applyFill="1" applyBorder="1" applyAlignment="1">
      <alignment horizontal="right" wrapText="1"/>
    </xf>
    <xf numFmtId="39" fontId="11" fillId="18" borderId="0" xfId="0" applyNumberFormat="1" applyFont="1" applyFill="1"/>
    <xf numFmtId="39" fontId="57" fillId="18" borderId="11" xfId="49" applyNumberFormat="1" applyFont="1" applyFill="1" applyBorder="1" applyAlignment="1">
      <alignment vertical="center"/>
    </xf>
    <xf numFmtId="39" fontId="57" fillId="18" borderId="11" xfId="49" applyNumberFormat="1" applyFont="1" applyFill="1" applyBorder="1" applyAlignment="1">
      <alignment vertical="top"/>
    </xf>
    <xf numFmtId="39" fontId="61" fillId="18" borderId="43" xfId="49" applyNumberFormat="1" applyFont="1" applyFill="1" applyBorder="1" applyAlignment="1">
      <alignment horizontal="right" wrapText="1"/>
    </xf>
    <xf numFmtId="0" fontId="11" fillId="18" borderId="0" xfId="0" applyFont="1" applyFill="1" applyBorder="1"/>
    <xf numFmtId="39" fontId="57" fillId="18" borderId="26" xfId="49" applyNumberFormat="1" applyFont="1" applyFill="1" applyBorder="1" applyAlignment="1">
      <alignment horizontal="right" wrapText="1"/>
    </xf>
    <xf numFmtId="39" fontId="57" fillId="18" borderId="13" xfId="49" applyNumberFormat="1" applyFont="1" applyFill="1" applyBorder="1" applyAlignment="1"/>
    <xf numFmtId="39" fontId="2" fillId="18" borderId="0" xfId="1" applyNumberFormat="1" applyFont="1" applyFill="1" applyBorder="1" applyAlignment="1">
      <alignment horizontal="right" wrapText="1"/>
    </xf>
    <xf numFmtId="39" fontId="57" fillId="18" borderId="11" xfId="49" applyNumberFormat="1" applyFont="1" applyFill="1" applyBorder="1" applyAlignment="1">
      <alignment horizontal="right" wrapText="1"/>
    </xf>
    <xf numFmtId="39" fontId="57" fillId="18" borderId="11" xfId="49" applyNumberFormat="1" applyFont="1" applyFill="1" applyBorder="1" applyAlignment="1">
      <alignment horizontal="right" vertical="center" wrapText="1"/>
    </xf>
    <xf numFmtId="39" fontId="57" fillId="18" borderId="41" xfId="49" applyNumberFormat="1" applyFont="1" applyFill="1" applyBorder="1"/>
    <xf numFmtId="39" fontId="57" fillId="18" borderId="29" xfId="49" applyNumberFormat="1" applyFont="1" applyFill="1" applyBorder="1" applyAlignment="1">
      <alignment horizontal="right" wrapText="1"/>
    </xf>
    <xf numFmtId="39" fontId="2" fillId="18" borderId="0" xfId="0" applyNumberFormat="1" applyFont="1" applyFill="1"/>
    <xf numFmtId="0" fontId="2" fillId="18" borderId="0" xfId="0" applyFont="1" applyFill="1"/>
    <xf numFmtId="0" fontId="61" fillId="21" borderId="17" xfId="49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9" fontId="2" fillId="0" borderId="12" xfId="1" applyNumberFormat="1" applyFont="1" applyFill="1" applyBorder="1" applyAlignment="1">
      <alignment horizontal="right" wrapText="1"/>
    </xf>
    <xf numFmtId="0" fontId="60" fillId="19" borderId="47" xfId="47" applyFont="1" applyBorder="1" applyAlignment="1">
      <alignment horizontal="center" vertical="center" wrapText="1"/>
    </xf>
    <xf numFmtId="39" fontId="60" fillId="19" borderId="26" xfId="47" applyNumberFormat="1" applyFont="1" applyBorder="1" applyAlignment="1">
      <alignment horizontal="right" wrapText="1"/>
    </xf>
    <xf numFmtId="39" fontId="56" fillId="19" borderId="11" xfId="47" applyNumberFormat="1" applyFont="1" applyBorder="1" applyAlignment="1">
      <alignment vertical="center"/>
    </xf>
    <xf numFmtId="39" fontId="60" fillId="22" borderId="39" xfId="47" applyNumberFormat="1" applyFont="1" applyFill="1" applyBorder="1" applyAlignment="1">
      <alignment horizontal="right" wrapText="1"/>
    </xf>
    <xf numFmtId="39" fontId="56" fillId="19" borderId="0" xfId="47" applyNumberFormat="1" applyFont="1" applyBorder="1" applyAlignment="1">
      <alignment horizontal="right" wrapText="1"/>
    </xf>
    <xf numFmtId="4" fontId="56" fillId="19" borderId="11" xfId="47" applyNumberFormat="1" applyFont="1" applyBorder="1" applyAlignment="1">
      <alignment horizontal="right" wrapText="1"/>
    </xf>
    <xf numFmtId="39" fontId="56" fillId="19" borderId="11" xfId="47" applyNumberFormat="1" applyFont="1" applyBorder="1" applyAlignment="1">
      <alignment horizontal="right"/>
    </xf>
    <xf numFmtId="39" fontId="56" fillId="22" borderId="41" xfId="47" applyNumberFormat="1" applyFont="1" applyFill="1" applyBorder="1"/>
    <xf numFmtId="39" fontId="56" fillId="23" borderId="29" xfId="47" applyNumberFormat="1" applyFont="1" applyFill="1" applyBorder="1" applyAlignment="1">
      <alignment horizontal="right" wrapText="1"/>
    </xf>
    <xf numFmtId="0" fontId="56" fillId="19" borderId="11" xfId="47" applyFont="1" applyBorder="1"/>
    <xf numFmtId="0" fontId="7" fillId="0" borderId="32" xfId="0" applyFont="1" applyFill="1" applyBorder="1"/>
    <xf numFmtId="0" fontId="7" fillId="0" borderId="32" xfId="0" applyFont="1" applyFill="1" applyBorder="1" applyAlignment="1">
      <alignment horizontal="center"/>
    </xf>
    <xf numFmtId="17" fontId="2" fillId="0" borderId="33" xfId="0" applyNumberFormat="1" applyFont="1" applyFill="1" applyBorder="1" applyAlignment="1">
      <alignment horizontal="center" vertical="center" wrapText="1"/>
    </xf>
    <xf numFmtId="39" fontId="11" fillId="0" borderId="32" xfId="0" applyNumberFormat="1" applyFont="1" applyFill="1" applyBorder="1" applyAlignment="1">
      <alignment wrapText="1"/>
    </xf>
    <xf numFmtId="39" fontId="11" fillId="0" borderId="32" xfId="0" applyNumberFormat="1" applyFont="1" applyFill="1" applyBorder="1" applyAlignment="1">
      <alignment horizontal="right" wrapText="1"/>
    </xf>
    <xf numFmtId="39" fontId="2" fillId="0" borderId="35" xfId="1" applyNumberFormat="1" applyFont="1" applyFill="1" applyBorder="1" applyAlignment="1">
      <alignment horizontal="right" wrapText="1"/>
    </xf>
    <xf numFmtId="39" fontId="2" fillId="0" borderId="32" xfId="0" applyNumberFormat="1" applyFont="1" applyFill="1" applyBorder="1" applyAlignment="1">
      <alignment horizontal="right" wrapText="1"/>
    </xf>
    <xf numFmtId="39" fontId="31" fillId="0" borderId="32" xfId="0" applyNumberFormat="1" applyFont="1" applyFill="1" applyBorder="1"/>
    <xf numFmtId="39" fontId="11" fillId="0" borderId="32" xfId="0" applyNumberFormat="1" applyFont="1" applyFill="1" applyBorder="1" applyAlignment="1">
      <alignment horizontal="right" vertical="center" wrapText="1"/>
    </xf>
    <xf numFmtId="39" fontId="2" fillId="22" borderId="37" xfId="1" applyNumberFormat="1" applyFont="1" applyFill="1" applyBorder="1" applyAlignment="1">
      <alignment horizontal="right" wrapText="1"/>
    </xf>
    <xf numFmtId="39" fontId="2" fillId="0" borderId="32" xfId="1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/>
    <xf numFmtId="39" fontId="2" fillId="0" borderId="35" xfId="0" applyNumberFormat="1" applyFont="1" applyFill="1" applyBorder="1" applyAlignment="1">
      <alignment horizontal="right" wrapText="1"/>
    </xf>
    <xf numFmtId="39" fontId="2" fillId="23" borderId="53" xfId="1" applyNumberFormat="1" applyFont="1" applyFill="1" applyBorder="1" applyAlignment="1">
      <alignment horizontal="right" wrapText="1"/>
    </xf>
    <xf numFmtId="39" fontId="2" fillId="0" borderId="32" xfId="0" applyNumberFormat="1" applyFont="1" applyFill="1" applyBorder="1"/>
    <xf numFmtId="39" fontId="2" fillId="3" borderId="32" xfId="0" applyNumberFormat="1" applyFont="1" applyFill="1" applyBorder="1"/>
    <xf numFmtId="6" fontId="2" fillId="0" borderId="32" xfId="0" applyNumberFormat="1" applyFont="1" applyFill="1" applyBorder="1"/>
    <xf numFmtId="8" fontId="7" fillId="0" borderId="32" xfId="0" applyNumberFormat="1" applyFont="1" applyFill="1" applyBorder="1"/>
    <xf numFmtId="0" fontId="20" fillId="0" borderId="32" xfId="0" applyFont="1" applyFill="1" applyBorder="1"/>
    <xf numFmtId="39" fontId="57" fillId="28" borderId="11" xfId="0" applyNumberFormat="1" applyFont="1" applyFill="1" applyBorder="1"/>
    <xf numFmtId="39" fontId="57" fillId="28" borderId="26" xfId="0" applyNumberFormat="1" applyFont="1" applyFill="1" applyBorder="1" applyAlignment="1">
      <alignment horizontal="right" wrapText="1"/>
    </xf>
    <xf numFmtId="39" fontId="57" fillId="28" borderId="11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9" fontId="56" fillId="19" borderId="11" xfId="47" applyNumberFormat="1" applyFont="1" applyBorder="1" applyAlignment="1">
      <alignment horizontal="right" vertical="center" wrapText="1"/>
    </xf>
    <xf numFmtId="39" fontId="11" fillId="3" borderId="0" xfId="0" applyNumberFormat="1" applyFont="1" applyFill="1" applyBorder="1" applyAlignment="1">
      <alignment horizontal="right" vertical="center" wrapText="1"/>
    </xf>
    <xf numFmtId="4" fontId="11" fillId="3" borderId="0" xfId="0" applyNumberFormat="1" applyFont="1" applyFill="1"/>
    <xf numFmtId="39" fontId="11" fillId="3" borderId="12" xfId="0" applyNumberFormat="1" applyFont="1" applyFill="1" applyBorder="1" applyAlignment="1">
      <alignment horizontal="right" wrapText="1"/>
    </xf>
    <xf numFmtId="39" fontId="11" fillId="3" borderId="0" xfId="0" applyNumberFormat="1" applyFont="1" applyFill="1" applyBorder="1" applyAlignment="1">
      <alignment horizontal="right" wrapText="1"/>
    </xf>
    <xf numFmtId="39" fontId="11" fillId="26" borderId="0" xfId="0" applyNumberFormat="1" applyFont="1" applyFill="1" applyBorder="1" applyAlignment="1">
      <alignment horizontal="right" wrapText="1"/>
    </xf>
    <xf numFmtId="39" fontId="11" fillId="26" borderId="0" xfId="0" applyNumberFormat="1" applyFont="1" applyFill="1" applyAlignment="1">
      <alignment horizontal="right" wrapText="1"/>
    </xf>
    <xf numFmtId="39" fontId="11" fillId="26" borderId="32" xfId="0" applyNumberFormat="1" applyFont="1" applyFill="1" applyBorder="1" applyAlignment="1">
      <alignment horizontal="right" wrapText="1"/>
    </xf>
    <xf numFmtId="39" fontId="11" fillId="26" borderId="0" xfId="0" applyNumberFormat="1" applyFont="1" applyFill="1" applyBorder="1"/>
    <xf numFmtId="39" fontId="11" fillId="26" borderId="32" xfId="0" applyNumberFormat="1" applyFont="1" applyFill="1" applyBorder="1"/>
    <xf numFmtId="39" fontId="11" fillId="26" borderId="0" xfId="0" applyNumberFormat="1" applyFont="1" applyFill="1" applyBorder="1" applyAlignment="1">
      <alignment horizontal="right" vertical="center" wrapText="1"/>
    </xf>
    <xf numFmtId="39" fontId="11" fillId="26" borderId="32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/>
    <xf numFmtId="1" fontId="56" fillId="19" borderId="0" xfId="47" applyNumberFormat="1" applyFont="1"/>
    <xf numFmtId="6" fontId="2" fillId="0" borderId="32" xfId="0" applyNumberFormat="1" applyFont="1" applyFill="1" applyBorder="1" applyAlignment="1">
      <alignment horizontal="right" wrapText="1"/>
    </xf>
    <xf numFmtId="1" fontId="11" fillId="0" borderId="0" xfId="0" applyNumberFormat="1" applyFont="1" applyFill="1"/>
    <xf numFmtId="0" fontId="11" fillId="0" borderId="32" xfId="0" applyFont="1" applyFill="1" applyBorder="1"/>
    <xf numFmtId="37" fontId="11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/>
    </xf>
    <xf numFmtId="1" fontId="0" fillId="0" borderId="0" xfId="0" applyNumberFormat="1"/>
    <xf numFmtId="168" fontId="0" fillId="0" borderId="0" xfId="0" applyNumberFormat="1"/>
    <xf numFmtId="0" fontId="68" fillId="0" borderId="0" xfId="0" applyFont="1"/>
    <xf numFmtId="37" fontId="11" fillId="0" borderId="32" xfId="0" applyNumberFormat="1" applyFont="1" applyFill="1" applyBorder="1" applyAlignment="1">
      <alignment horizontal="right" vertical="center" wrapText="1"/>
    </xf>
    <xf numFmtId="39" fontId="11" fillId="3" borderId="32" xfId="0" applyNumberFormat="1" applyFont="1" applyFill="1" applyBorder="1" applyAlignment="1">
      <alignment horizontal="right" wrapText="1"/>
    </xf>
    <xf numFmtId="0" fontId="11" fillId="3" borderId="32" xfId="0" applyFont="1" applyFill="1" applyBorder="1" applyAlignment="1">
      <alignment horizontal="left" vertical="center" wrapText="1"/>
    </xf>
    <xf numFmtId="39" fontId="11" fillId="3" borderId="32" xfId="0" applyNumberFormat="1" applyFont="1" applyFill="1" applyBorder="1" applyAlignment="1">
      <alignment horizontal="right" vertical="center" wrapText="1"/>
    </xf>
    <xf numFmtId="39" fontId="56" fillId="3" borderId="11" xfId="47" applyNumberFormat="1" applyFont="1" applyFill="1" applyBorder="1" applyAlignment="1">
      <alignment horizontal="right" vertical="center" wrapText="1"/>
    </xf>
    <xf numFmtId="39" fontId="57" fillId="3" borderId="11" xfId="49" applyNumberFormat="1" applyFont="1" applyFill="1" applyBorder="1" applyAlignment="1">
      <alignment horizontal="right" vertical="center" wrapText="1"/>
    </xf>
    <xf numFmtId="39" fontId="11" fillId="3" borderId="0" xfId="0" applyNumberFormat="1" applyFont="1" applyFill="1" applyAlignment="1">
      <alignment horizontal="right" vertical="center" wrapText="1"/>
    </xf>
    <xf numFmtId="39" fontId="2" fillId="3" borderId="0" xfId="0" applyNumberFormat="1" applyFont="1" applyFill="1" applyAlignment="1">
      <alignment vertical="center"/>
    </xf>
    <xf numFmtId="39" fontId="58" fillId="3" borderId="0" xfId="48" applyNumberFormat="1" applyFont="1" applyFill="1" applyAlignment="1">
      <alignment vertical="center"/>
    </xf>
    <xf numFmtId="0" fontId="31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/>
    </xf>
    <xf numFmtId="39" fontId="58" fillId="0" borderId="0" xfId="48" applyNumberFormat="1" applyFont="1" applyFill="1" applyAlignment="1">
      <alignment vertical="center"/>
    </xf>
    <xf numFmtId="39" fontId="11" fillId="0" borderId="32" xfId="0" applyNumberFormat="1" applyFont="1" applyFill="1" applyBorder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44" fillId="0" borderId="24" xfId="44" applyFont="1" applyBorder="1" applyAlignment="1">
      <alignment horizontal="center"/>
    </xf>
    <xf numFmtId="0" fontId="44" fillId="0" borderId="23" xfId="44" applyFont="1" applyBorder="1" applyAlignment="1">
      <alignment horizontal="center"/>
    </xf>
    <xf numFmtId="39" fontId="11" fillId="9" borderId="0" xfId="0" applyNumberFormat="1" applyFont="1" applyFill="1" applyBorder="1" applyAlignment="1">
      <alignment wrapText="1"/>
    </xf>
    <xf numFmtId="39" fontId="11" fillId="9" borderId="0" xfId="0" applyNumberFormat="1" applyFont="1" applyFill="1" applyBorder="1" applyAlignment="1">
      <alignment horizontal="right" wrapText="1"/>
    </xf>
    <xf numFmtId="39" fontId="2" fillId="9" borderId="2" xfId="1" applyNumberFormat="1" applyFont="1" applyFill="1" applyBorder="1" applyAlignment="1">
      <alignment horizontal="right" wrapText="1"/>
    </xf>
    <xf numFmtId="39" fontId="2" fillId="9" borderId="0" xfId="0" applyNumberFormat="1" applyFont="1" applyFill="1" applyBorder="1" applyAlignment="1">
      <alignment horizontal="right" wrapText="1"/>
    </xf>
    <xf numFmtId="39" fontId="11" fillId="9" borderId="0" xfId="0" applyNumberFormat="1" applyFont="1" applyFill="1" applyBorder="1"/>
    <xf numFmtId="39" fontId="11" fillId="9" borderId="0" xfId="0" applyNumberFormat="1" applyFont="1" applyFill="1" applyBorder="1" applyAlignment="1">
      <alignment horizontal="right" vertical="center" wrapText="1"/>
    </xf>
    <xf numFmtId="37" fontId="11" fillId="9" borderId="0" xfId="0" applyNumberFormat="1" applyFont="1" applyFill="1" applyBorder="1" applyAlignment="1">
      <alignment horizontal="right" vertical="center" wrapText="1"/>
    </xf>
    <xf numFmtId="39" fontId="11" fillId="9" borderId="12" xfId="0" applyNumberFormat="1" applyFont="1" applyFill="1" applyBorder="1" applyAlignment="1">
      <alignment horizontal="right" wrapText="1"/>
    </xf>
    <xf numFmtId="39" fontId="2" fillId="9" borderId="36" xfId="1" applyNumberFormat="1" applyFont="1" applyFill="1" applyBorder="1" applyAlignment="1">
      <alignment horizontal="right" wrapText="1"/>
    </xf>
    <xf numFmtId="39" fontId="2" fillId="9" borderId="12" xfId="1" applyNumberFormat="1" applyFont="1" applyFill="1" applyBorder="1" applyAlignment="1">
      <alignment horizontal="right" wrapText="1"/>
    </xf>
    <xf numFmtId="39" fontId="31" fillId="9" borderId="0" xfId="0" applyNumberFormat="1" applyFont="1" applyFill="1" applyBorder="1"/>
    <xf numFmtId="4" fontId="11" fillId="9" borderId="0" xfId="0" applyNumberFormat="1" applyFont="1" applyFill="1"/>
    <xf numFmtId="39" fontId="2" fillId="9" borderId="0" xfId="1" applyNumberFormat="1" applyFont="1" applyFill="1" applyBorder="1" applyAlignment="1">
      <alignment horizontal="right" wrapText="1"/>
    </xf>
    <xf numFmtId="39" fontId="2" fillId="9" borderId="38" xfId="1" applyNumberFormat="1" applyFont="1" applyFill="1" applyBorder="1" applyAlignment="1">
      <alignment horizontal="right" wrapText="1"/>
    </xf>
    <xf numFmtId="39" fontId="2" fillId="9" borderId="2" xfId="0" applyNumberFormat="1" applyFont="1" applyFill="1" applyBorder="1" applyAlignment="1">
      <alignment horizontal="right" wrapText="1"/>
    </xf>
    <xf numFmtId="39" fontId="2" fillId="9" borderId="28" xfId="1" applyNumberFormat="1" applyFont="1" applyFill="1" applyBorder="1" applyAlignment="1">
      <alignment horizontal="right" wrapText="1"/>
    </xf>
    <xf numFmtId="39" fontId="2" fillId="9" borderId="0" xfId="0" applyNumberFormat="1" applyFont="1" applyFill="1" applyBorder="1"/>
    <xf numFmtId="6" fontId="2" fillId="9" borderId="0" xfId="0" applyNumberFormat="1" applyFont="1" applyFill="1" applyBorder="1"/>
    <xf numFmtId="39" fontId="11" fillId="29" borderId="0" xfId="0" applyNumberFormat="1" applyFont="1" applyFill="1" applyBorder="1" applyAlignment="1">
      <alignment horizontal="right" wrapText="1"/>
    </xf>
    <xf numFmtId="39" fontId="11" fillId="9" borderId="0" xfId="0" applyNumberFormat="1" applyFont="1" applyFill="1" applyAlignment="1">
      <alignment wrapText="1"/>
    </xf>
    <xf numFmtId="39" fontId="11" fillId="9" borderId="0" xfId="0" applyNumberFormat="1" applyFont="1" applyFill="1" applyAlignment="1">
      <alignment horizontal="right" wrapText="1"/>
    </xf>
    <xf numFmtId="39" fontId="31" fillId="9" borderId="0" xfId="0" applyNumberFormat="1" applyFont="1" applyFill="1"/>
    <xf numFmtId="0" fontId="31" fillId="9" borderId="0" xfId="0" applyFont="1" applyFill="1" applyBorder="1" applyAlignment="1">
      <alignment vertical="center"/>
    </xf>
    <xf numFmtId="0" fontId="31" fillId="9" borderId="0" xfId="0" applyFont="1" applyFill="1"/>
    <xf numFmtId="0" fontId="56" fillId="19" borderId="0" xfId="47" applyFont="1" applyAlignment="1">
      <alignment wrapText="1"/>
    </xf>
    <xf numFmtId="0" fontId="57" fillId="21" borderId="0" xfId="49" applyFont="1" applyAlignment="1">
      <alignment wrapText="1"/>
    </xf>
    <xf numFmtId="0" fontId="11" fillId="0" borderId="0" xfId="0" applyFont="1" applyFill="1" applyAlignment="1">
      <alignment wrapText="1"/>
    </xf>
    <xf numFmtId="0" fontId="58" fillId="20" borderId="0" xfId="48" applyFont="1" applyAlignment="1">
      <alignment wrapText="1"/>
    </xf>
    <xf numFmtId="0" fontId="11" fillId="9" borderId="0" xfId="0" applyFont="1" applyFill="1" applyAlignment="1">
      <alignment wrapText="1"/>
    </xf>
    <xf numFmtId="0" fontId="11" fillId="0" borderId="32" xfId="0" applyFont="1" applyFill="1" applyBorder="1" applyAlignment="1">
      <alignment wrapText="1"/>
    </xf>
    <xf numFmtId="39" fontId="2" fillId="9" borderId="0" xfId="0" applyNumberFormat="1" applyFont="1" applyFill="1"/>
    <xf numFmtId="6" fontId="2" fillId="9" borderId="0" xfId="0" applyNumberFormat="1" applyFont="1" applyFill="1"/>
    <xf numFmtId="37" fontId="11" fillId="3" borderId="0" xfId="0" applyNumberFormat="1" applyFont="1" applyFill="1" applyBorder="1" applyAlignment="1">
      <alignment horizontal="right" vertical="center" wrapText="1"/>
    </xf>
    <xf numFmtId="37" fontId="11" fillId="3" borderId="32" xfId="0" applyNumberFormat="1" applyFont="1" applyFill="1" applyBorder="1" applyAlignment="1">
      <alignment horizontal="right" vertical="center" wrapText="1"/>
    </xf>
    <xf numFmtId="39" fontId="11" fillId="3" borderId="0" xfId="0" applyNumberFormat="1" applyFont="1" applyFill="1" applyAlignment="1">
      <alignment horizontal="right" wrapText="1"/>
    </xf>
    <xf numFmtId="39" fontId="2" fillId="3" borderId="2" xfId="1" applyNumberFormat="1" applyFont="1" applyFill="1" applyBorder="1" applyAlignment="1">
      <alignment horizontal="right" wrapText="1"/>
    </xf>
    <xf numFmtId="39" fontId="11" fillId="17" borderId="0" xfId="0" applyNumberFormat="1" applyFont="1" applyFill="1" applyAlignment="1">
      <alignment horizontal="right" wrapText="1"/>
    </xf>
    <xf numFmtId="39" fontId="56" fillId="3" borderId="11" xfId="47" applyNumberFormat="1" applyFont="1" applyFill="1" applyBorder="1" applyAlignment="1">
      <alignment horizontal="right" wrapText="1"/>
    </xf>
    <xf numFmtId="39" fontId="60" fillId="3" borderId="26" xfId="47" applyNumberFormat="1" applyFont="1" applyFill="1" applyBorder="1" applyAlignment="1">
      <alignment horizontal="right" wrapText="1"/>
    </xf>
    <xf numFmtId="39" fontId="2" fillId="9" borderId="0" xfId="0" applyNumberFormat="1" applyFont="1" applyFill="1" applyAlignment="1">
      <alignment wrapText="1"/>
    </xf>
    <xf numFmtId="39" fontId="2" fillId="0" borderId="36" xfId="1" applyNumberFormat="1" applyFont="1" applyFill="1" applyBorder="1" applyAlignment="1">
      <alignment horizontal="right" wrapText="1"/>
    </xf>
    <xf numFmtId="39" fontId="2" fillId="0" borderId="37" xfId="1" applyNumberFormat="1" applyFont="1" applyFill="1" applyBorder="1" applyAlignment="1">
      <alignment horizontal="right" wrapText="1"/>
    </xf>
    <xf numFmtId="39" fontId="2" fillId="0" borderId="38" xfId="1" applyNumberFormat="1" applyFont="1" applyFill="1" applyBorder="1" applyAlignment="1">
      <alignment horizontal="right" wrapText="1"/>
    </xf>
    <xf numFmtId="39" fontId="2" fillId="0" borderId="28" xfId="1" applyNumberFormat="1" applyFont="1" applyFill="1" applyBorder="1" applyAlignment="1">
      <alignment horizontal="right" wrapText="1"/>
    </xf>
    <xf numFmtId="39" fontId="2" fillId="0" borderId="53" xfId="1" applyNumberFormat="1" applyFont="1" applyFill="1" applyBorder="1" applyAlignment="1">
      <alignment horizontal="right" wrapText="1"/>
    </xf>
    <xf numFmtId="39" fontId="58" fillId="20" borderId="8" xfId="48" applyNumberFormat="1" applyFont="1" applyBorder="1"/>
    <xf numFmtId="39" fontId="58" fillId="20" borderId="54" xfId="48" applyNumberFormat="1" applyFont="1" applyBorder="1"/>
    <xf numFmtId="2" fontId="69" fillId="22" borderId="55" xfId="1" applyNumberFormat="1" applyFont="1" applyFill="1" applyBorder="1" applyAlignment="1">
      <alignment horizontal="right" wrapText="1"/>
    </xf>
    <xf numFmtId="39" fontId="60" fillId="19" borderId="57" xfId="47" applyNumberFormat="1" applyFont="1" applyBorder="1" applyAlignment="1">
      <alignment horizontal="right" wrapText="1"/>
    </xf>
    <xf numFmtId="39" fontId="2" fillId="0" borderId="56" xfId="1" applyNumberFormat="1" applyFont="1" applyFill="1" applyBorder="1" applyAlignment="1">
      <alignment horizontal="right" wrapText="1"/>
    </xf>
    <xf numFmtId="39" fontId="62" fillId="20" borderId="9" xfId="48" applyNumberFormat="1" applyFont="1" applyBorder="1"/>
    <xf numFmtId="39" fontId="60" fillId="19" borderId="2" xfId="47" applyNumberFormat="1" applyFont="1" applyBorder="1" applyAlignment="1">
      <alignment horizontal="right" wrapText="1"/>
    </xf>
    <xf numFmtId="39" fontId="58" fillId="20" borderId="9" xfId="48" applyNumberFormat="1" applyFont="1" applyBorder="1"/>
    <xf numFmtId="39" fontId="60" fillId="23" borderId="29" xfId="47" applyNumberFormat="1" applyFont="1" applyFill="1" applyBorder="1" applyAlignment="1">
      <alignment horizontal="right" wrapText="1"/>
    </xf>
    <xf numFmtId="39" fontId="62" fillId="20" borderId="58" xfId="48" applyNumberFormat="1" applyFont="1" applyBorder="1"/>
    <xf numFmtId="39" fontId="60" fillId="22" borderId="59" xfId="47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0" fontId="56" fillId="0" borderId="0" xfId="47" applyFont="1" applyFill="1" applyBorder="1"/>
    <xf numFmtId="0" fontId="58" fillId="0" borderId="0" xfId="48" applyFont="1" applyFill="1" applyBorder="1"/>
    <xf numFmtId="0" fontId="20" fillId="0" borderId="0" xfId="0" applyFont="1" applyFill="1" applyBorder="1" applyAlignment="1">
      <alignment vertical="top" wrapText="1"/>
    </xf>
    <xf numFmtId="0" fontId="2" fillId="3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39" fontId="2" fillId="3" borderId="17" xfId="0" applyNumberFormat="1" applyFont="1" applyFill="1" applyBorder="1"/>
    <xf numFmtId="39" fontId="2" fillId="3" borderId="17" xfId="0" applyNumberFormat="1" applyFont="1" applyFill="1" applyBorder="1" applyAlignment="1">
      <alignment wrapText="1"/>
    </xf>
    <xf numFmtId="39" fontId="2" fillId="3" borderId="33" xfId="0" applyNumberFormat="1" applyFont="1" applyFill="1" applyBorder="1"/>
    <xf numFmtId="39" fontId="60" fillId="22" borderId="41" xfId="47" applyNumberFormat="1" applyFont="1" applyFill="1" applyBorder="1"/>
    <xf numFmtId="0" fontId="70" fillId="0" borderId="0" xfId="49" applyFont="1" applyFill="1"/>
    <xf numFmtId="0" fontId="71" fillId="0" borderId="17" xfId="49" applyFont="1" applyFill="1" applyBorder="1" applyAlignment="1">
      <alignment horizontal="center" vertical="center" wrapText="1"/>
    </xf>
    <xf numFmtId="39" fontId="70" fillId="0" borderId="11" xfId="49" applyNumberFormat="1" applyFont="1" applyFill="1" applyBorder="1"/>
    <xf numFmtId="39" fontId="70" fillId="0" borderId="14" xfId="49" applyNumberFormat="1" applyFont="1" applyFill="1" applyBorder="1"/>
    <xf numFmtId="39" fontId="71" fillId="0" borderId="26" xfId="49" applyNumberFormat="1" applyFont="1" applyFill="1" applyBorder="1" applyAlignment="1">
      <alignment horizontal="right" wrapText="1"/>
    </xf>
    <xf numFmtId="39" fontId="71" fillId="0" borderId="43" xfId="49" applyNumberFormat="1" applyFont="1" applyFill="1" applyBorder="1" applyAlignment="1">
      <alignment horizontal="right" wrapText="1"/>
    </xf>
    <xf numFmtId="39" fontId="70" fillId="0" borderId="11" xfId="49" applyNumberFormat="1" applyFont="1" applyFill="1" applyBorder="1" applyAlignment="1">
      <alignment vertical="center"/>
    </xf>
    <xf numFmtId="39" fontId="70" fillId="0" borderId="11" xfId="49" applyNumberFormat="1" applyFont="1" applyFill="1" applyBorder="1" applyAlignment="1">
      <alignment horizontal="right" wrapText="1"/>
    </xf>
    <xf numFmtId="39" fontId="71" fillId="0" borderId="13" xfId="49" applyNumberFormat="1" applyFont="1" applyFill="1" applyBorder="1"/>
    <xf numFmtId="39" fontId="71" fillId="0" borderId="41" xfId="49" applyNumberFormat="1" applyFont="1" applyFill="1" applyBorder="1"/>
    <xf numFmtId="39" fontId="71" fillId="0" borderId="29" xfId="49" applyNumberFormat="1" applyFont="1" applyFill="1" applyBorder="1" applyAlignment="1">
      <alignment horizontal="right" wrapText="1"/>
    </xf>
    <xf numFmtId="0" fontId="70" fillId="0" borderId="11" xfId="49" applyFont="1" applyFill="1" applyBorder="1"/>
    <xf numFmtId="0" fontId="70" fillId="0" borderId="0" xfId="49" applyFont="1" applyFill="1" applyBorder="1"/>
    <xf numFmtId="0" fontId="60" fillId="19" borderId="60" xfId="47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168" fontId="46" fillId="0" borderId="13" xfId="46" applyNumberFormat="1" applyFont="1" applyBorder="1" applyAlignment="1">
      <alignment horizontal="center" vertical="center" textRotation="90" wrapText="1"/>
    </xf>
    <xf numFmtId="168" fontId="46" fillId="0" borderId="14" xfId="46" applyNumberFormat="1" applyFont="1" applyBorder="1" applyAlignment="1">
      <alignment horizontal="center" vertical="center" textRotation="90" wrapText="1"/>
    </xf>
    <xf numFmtId="168" fontId="46" fillId="0" borderId="15" xfId="46" applyNumberFormat="1" applyFont="1" applyBorder="1" applyAlignment="1">
      <alignment horizontal="center" vertical="center" textRotation="90" wrapText="1"/>
    </xf>
    <xf numFmtId="168" fontId="46" fillId="0" borderId="13" xfId="46" applyNumberFormat="1" applyFont="1" applyBorder="1" applyAlignment="1">
      <alignment horizontal="center" vertical="center" textRotation="90"/>
    </xf>
    <xf numFmtId="168" fontId="46" fillId="0" borderId="14" xfId="46" applyNumberFormat="1" applyFont="1" applyBorder="1" applyAlignment="1">
      <alignment horizontal="center" vertical="center" textRotation="90"/>
    </xf>
    <xf numFmtId="168" fontId="46" fillId="0" borderId="15" xfId="46" applyNumberFormat="1" applyFont="1" applyBorder="1" applyAlignment="1">
      <alignment horizontal="center" vertical="center" textRotation="90"/>
    </xf>
    <xf numFmtId="168" fontId="46" fillId="0" borderId="13" xfId="1" applyNumberFormat="1" applyFont="1" applyBorder="1" applyAlignment="1">
      <alignment horizontal="center" vertical="center" textRotation="90" wrapText="1"/>
    </xf>
    <xf numFmtId="168" fontId="46" fillId="0" borderId="14" xfId="1" applyNumberFormat="1" applyFont="1" applyBorder="1" applyAlignment="1">
      <alignment horizontal="center" vertical="center" textRotation="90" wrapText="1"/>
    </xf>
    <xf numFmtId="168" fontId="46" fillId="0" borderId="15" xfId="1" applyNumberFormat="1" applyFont="1" applyBorder="1" applyAlignment="1">
      <alignment horizontal="center" vertical="center" textRotation="90" wrapText="1"/>
    </xf>
    <xf numFmtId="0" fontId="7" fillId="0" borderId="0" xfId="0" applyFont="1" applyAlignment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44" fillId="0" borderId="25" xfId="44" applyFont="1" applyBorder="1" applyAlignment="1">
      <alignment horizontal="center"/>
    </xf>
    <xf numFmtId="0" fontId="44" fillId="0" borderId="24" xfId="44" applyFont="1" applyBorder="1" applyAlignment="1">
      <alignment horizontal="center"/>
    </xf>
    <xf numFmtId="0" fontId="44" fillId="0" borderId="23" xfId="44" applyFont="1" applyBorder="1" applyAlignment="1">
      <alignment horizontal="center"/>
    </xf>
    <xf numFmtId="39" fontId="71" fillId="3" borderId="0" xfId="0" applyNumberFormat="1" applyFont="1" applyFill="1"/>
    <xf numFmtId="39" fontId="71" fillId="3" borderId="0" xfId="0" applyNumberFormat="1" applyFont="1" applyFill="1" applyAlignment="1">
      <alignment wrapText="1"/>
    </xf>
    <xf numFmtId="39" fontId="71" fillId="3" borderId="32" xfId="0" applyNumberFormat="1" applyFont="1" applyFill="1" applyBorder="1"/>
    <xf numFmtId="6" fontId="11" fillId="0" borderId="17" xfId="0" applyNumberFormat="1" applyFont="1" applyFill="1" applyBorder="1"/>
    <xf numFmtId="39" fontId="11" fillId="0" borderId="17" xfId="0" applyNumberFormat="1" applyFont="1" applyFill="1" applyBorder="1" applyAlignment="1">
      <alignment wrapText="1"/>
    </xf>
    <xf numFmtId="6" fontId="11" fillId="0" borderId="33" xfId="0" applyNumberFormat="1" applyFont="1" applyFill="1" applyBorder="1"/>
    <xf numFmtId="0" fontId="72" fillId="0" borderId="0" xfId="0" applyFont="1" applyAlignment="1">
      <alignment horizontal="left" vertical="center" indent="6"/>
    </xf>
    <xf numFmtId="0" fontId="7" fillId="9" borderId="0" xfId="0" applyFont="1" applyFill="1" applyBorder="1"/>
    <xf numFmtId="0" fontId="7" fillId="9" borderId="0" xfId="0" applyFont="1" applyFill="1" applyBorder="1" applyAlignment="1">
      <alignment horizontal="center"/>
    </xf>
    <xf numFmtId="17" fontId="2" fillId="9" borderId="17" xfId="0" applyNumberFormat="1" applyFont="1" applyFill="1" applyBorder="1" applyAlignment="1">
      <alignment horizontal="center" vertical="center" wrapText="1"/>
    </xf>
    <xf numFmtId="39" fontId="2" fillId="9" borderId="56" xfId="1" applyNumberFormat="1" applyFont="1" applyFill="1" applyBorder="1" applyAlignment="1">
      <alignment horizontal="right" wrapText="1"/>
    </xf>
  </cellXfs>
  <cellStyles count="50">
    <cellStyle name="Bad" xfId="48" builtinId="27"/>
    <cellStyle name="Currency" xfId="1" builtinId="4"/>
    <cellStyle name="Currency 2" xfId="46" xr:uid="{1D647F9E-1C8A-1543-8986-549874E45EE4}"/>
    <cellStyle name="Followed Hyperlink" xfId="33" builtinId="9" hidden="1"/>
    <cellStyle name="Followed Hyperlink" xfId="11" builtinId="9" hidden="1"/>
    <cellStyle name="Followed Hyperlink" xfId="3" builtinId="9" hidden="1"/>
    <cellStyle name="Followed Hyperlink" xfId="27" builtinId="9" hidden="1"/>
    <cellStyle name="Followed Hyperlink" xfId="15" builtinId="9" hidden="1"/>
    <cellStyle name="Followed Hyperlink" xfId="29" builtinId="9" hidden="1"/>
    <cellStyle name="Followed Hyperlink" xfId="37" builtinId="9" hidden="1"/>
    <cellStyle name="Followed Hyperlink" xfId="39" builtinId="9" hidden="1"/>
    <cellStyle name="Followed Hyperlink" xfId="7" builtinId="9" hidden="1"/>
    <cellStyle name="Followed Hyperlink" xfId="23" builtinId="9" hidden="1"/>
    <cellStyle name="Followed Hyperlink" xfId="17" builtinId="9" hidden="1"/>
    <cellStyle name="Followed Hyperlink" xfId="13" builtinId="9" hidden="1"/>
    <cellStyle name="Followed Hyperlink" xfId="35" builtinId="9" hidden="1"/>
    <cellStyle name="Followed Hyperlink" xfId="31" builtinId="9" hidden="1"/>
    <cellStyle name="Followed Hyperlink" xfId="25" builtinId="9" hidden="1"/>
    <cellStyle name="Followed Hyperlink" xfId="19" builtinId="9" hidden="1"/>
    <cellStyle name="Followed Hyperlink" xfId="41" builtinId="9" hidden="1"/>
    <cellStyle name="Followed Hyperlink" xfId="5" builtinId="9" hidden="1"/>
    <cellStyle name="Followed Hyperlink" xfId="21" builtinId="9" hidden="1"/>
    <cellStyle name="Followed Hyperlink" xfId="9" builtinId="9" hidden="1"/>
    <cellStyle name="Good" xfId="47" builtinId="26"/>
    <cellStyle name="Hyperlink" xfId="40" builtinId="8" hidden="1"/>
    <cellStyle name="Hyperlink" xfId="10" builtinId="8" hidden="1"/>
    <cellStyle name="Hyperlink" xfId="34" builtinId="8" hidden="1"/>
    <cellStyle name="Hyperlink" xfId="36" builtinId="8" hidden="1"/>
    <cellStyle name="Hyperlink" xfId="24" builtinId="8" hidden="1"/>
    <cellStyle name="Hyperlink" xfId="28" builtinId="8" hidden="1"/>
    <cellStyle name="Hyperlink" xfId="30" builtinId="8" hidden="1"/>
    <cellStyle name="Hyperlink" xfId="32" builtinId="8" hidden="1"/>
    <cellStyle name="Hyperlink" xfId="6" builtinId="8" hidden="1"/>
    <cellStyle name="Hyperlink" xfId="8" builtinId="8" hidden="1"/>
    <cellStyle name="Hyperlink" xfId="4" builtinId="8" hidden="1"/>
    <cellStyle name="Hyperlink" xfId="26" builtinId="8" hidden="1"/>
    <cellStyle name="Hyperlink" xfId="38" builtinId="8" hidden="1"/>
    <cellStyle name="Hyperlink" xfId="12" builtinId="8" hidden="1"/>
    <cellStyle name="Hyperlink" xfId="14" builtinId="8" hidden="1"/>
    <cellStyle name="Hyperlink" xfId="16" builtinId="8" hidden="1"/>
    <cellStyle name="Hyperlink" xfId="20" builtinId="8" hidden="1"/>
    <cellStyle name="Hyperlink" xfId="22" builtinId="8" hidden="1"/>
    <cellStyle name="Hyperlink" xfId="18" builtinId="8" hidden="1"/>
    <cellStyle name="Hyperlink" xfId="2" builtinId="8" hidden="1"/>
    <cellStyle name="Neutral" xfId="49" builtinId="28"/>
    <cellStyle name="Normal" xfId="0" builtinId="0"/>
    <cellStyle name="Normal 2" xfId="43" xr:uid="{1C4FC67E-69DD-F347-9685-1A630B34EFDB}"/>
    <cellStyle name="Normal 3" xfId="44" xr:uid="{F178F069-7A96-D346-BF1E-B33306EEDD8C}"/>
    <cellStyle name="Percent" xfId="42" builtinId="5"/>
    <cellStyle name="Percent 2" xfId="45" xr:uid="{E4EF4EED-97A1-BF49-8CC7-A2584194D9EC}"/>
  </cellStyles>
  <dxfs count="0"/>
  <tableStyles count="0" defaultTableStyle="TableStyleMedium2" defaultPivotStyle="PivotStyleLight16"/>
  <colors>
    <mruColors>
      <color rgb="FFFF838C"/>
      <color rgb="FFFFC0CA"/>
      <color rgb="FFFF7C85"/>
      <color rgb="FFF46362"/>
      <color rgb="FFFF7D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ill Woolsey" id="{DE3DA967-B69A-404A-B88F-0DD05677A89E}" userId="0cee25c93f6e6000" providerId="Windows Live"/>
  <person displayName="Scott Roney" id="{F5FCFE7F-6D76-7449-82A4-73C07A97E794}" userId="9378f538d51b499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9D9A084C-A5CB-084E-952E-3BCAACC5D074}">
    <text>Trinity Lisle $5k
Bethany $1250</text>
  </threadedComment>
  <threadedComment ref="G9" dT="2019-03-06T17:07:53.46" personId="{DE3DA967-B69A-404A-B88F-0DD05677A89E}" id="{58F68E8A-EF79-174D-9CDC-83B56D56E666}">
    <text>Trinity Lisle $5k</text>
  </threadedComment>
  <threadedComment ref="G9" dT="2019-07-10T18:36:03.04" personId="{DE3DA967-B69A-404A-B88F-0DD05677A89E}" id="{0BC96ED8-34D5-8841-B73A-35750D4880AC}" parentId="{58F68E8A-EF79-174D-9CDC-83B56D56E666}">
    <text>Also includes Bethany 1250 and Summit 2500</text>
  </threadedComment>
  <threadedComment ref="G9" dT="2020-10-13T18:58:41.24" personId="{F5FCFE7F-6D76-7449-82A4-73C07A97E794}" id="{C92BB7A6-F117-1E47-BA25-1C22CC55A466}" parentId="{58F68E8A-EF79-174D-9CDC-83B56D56E666}">
    <text>Summit 1250</text>
  </threadedComment>
  <threadedComment ref="J9" dT="2019-03-06T17:10:00.29" personId="{DE3DA967-B69A-404A-B88F-0DD05677A89E}" id="{8FD6F4B1-4AE3-E447-A9A6-79CE04A5DA01}">
    <text>Our Savior McKinney $12k
Summit $2,500
Gloria Dei $10,000</text>
  </threadedComment>
  <threadedComment ref="J9" dT="2020-10-13T19:25:31.37" personId="{F5FCFE7F-6D76-7449-82A4-73C07A97E794}" id="{6F50DA49-B34A-E34C-B8CD-658ABBBD82BC}" parentId="{8FD6F4B1-4AE3-E447-A9A6-79CE04A5DA01}">
    <text>Summit 1250; OSM - 0</text>
  </threadedComment>
  <threadedComment ref="M9" dT="2020-10-22T19:34:28.69" personId="{F5FCFE7F-6D76-7449-82A4-73C07A97E794}" id="{4DB3BC25-49ED-2247-BD5C-A6697B91F198}">
    <text>Summit 1250 and assumed additional $2500</text>
  </threadedComment>
  <threadedComment ref="B10" dT="2019-03-06T17:24:09.16" personId="{DE3DA967-B69A-404A-B88F-0DD05677A89E}" id="{37AE44A4-CC00-A447-9EFE-C349BF140B61}">
    <text>Donor’s $15k
Normal</text>
  </threadedComment>
  <threadedComment ref="B10" dT="2020-01-11T15:41:13.19" personId="{DE3DA967-B69A-404A-B88F-0DD05677A89E}" id="{2CDDAB5E-9989-EC41-A487-16EF65DD37F1}" parentId="{37AE44A4-CC00-A447-9EFE-C349BF140B61}">
    <text>Donor gave this in Dec ‘19</text>
  </threadedComment>
  <threadedComment ref="B10" dT="2020-10-13T19:33:17.87" personId="{F5FCFE7F-6D76-7449-82A4-73C07A97E794}" id="{91AE5FC3-9F71-E54D-9522-FCB547EEF6D1}" parentId="{37AE44A4-CC00-A447-9EFE-C349BF140B61}">
    <text>Unsure of this.</text>
  </threadedComment>
  <threadedComment ref="F10" dT="2019-12-10T22:06:56.36" personId="{DE3DA967-B69A-404A-B88F-0DD05677A89E}" id="{B8651E03-037B-7B4E-936B-1E59A5272761}">
    <text>Decatur donor - $15k</text>
  </threadedComment>
  <threadedComment ref="H10" dT="2020-05-12T18:15:28.64" personId="{DE3DA967-B69A-404A-B88F-0DD05677A89E}" id="{90BE0B3A-F2D2-514B-BE01-977F5202AABD}">
    <text>$5k added for virtual donor Las Vegas</text>
  </threadedComment>
  <threadedComment ref="H10" dT="2020-08-11T20:17:06.27" personId="{DE3DA967-B69A-404A-B88F-0DD05677A89E}" id="{D6B75A98-BC5A-5441-974C-E97B9DF6D921}" parentId="{90BE0B3A-F2D2-514B-BE01-977F5202AABD}">
    <text>Did not happen.</text>
  </threadedComment>
  <threadedComment ref="I10" dT="2020-07-27T19:53:34.28" personId="{DE3DA967-B69A-404A-B88F-0DD05677A89E}" id="{36D67311-9867-1C4E-999D-6666B4777510}">
    <text>Cook $30k gift for golf event</text>
  </threadedComment>
  <threadedComment ref="K10" dT="2020-10-13T22:46:27.36" personId="{F5FCFE7F-6D76-7449-82A4-73C07A97E794}" id="{82F4EED8-6D1D-7F40-9B13-1F73D9934DB5}">
    <text>Golf, Give, Grow Getaway</text>
  </threadedComment>
  <threadedComment ref="L10" dT="2020-10-22T19:38:39.51" personId="{F5FCFE7F-6D76-7449-82A4-73C07A97E794}" id="{9E5D4E6F-2717-B143-AB75-E40B22F257B9}">
    <text>Year end campaign</text>
  </threadedComment>
  <threadedComment ref="A13" dT="2020-10-15T18:37:01.56" personId="{F5FCFE7F-6D76-7449-82A4-73C07A97E794}" id="{1FCF0583-6023-DE43-9AB0-41DFEA4DB13F}">
    <text xml:space="preserve">Work in Summits starting in Q2.    </text>
  </threadedComment>
  <threadedComment ref="F14" dT="2020-10-22T19:12:39.69" personId="{F5FCFE7F-6D76-7449-82A4-73C07A97E794}" id="{BD6D884F-046F-9B4D-AF04-7812FCECA684}">
    <text xml:space="preserve">$34k revenue from each conference assumes 200 attendees and pricing of $149 (early bird) and $179.  </text>
  </threadedComment>
  <threadedComment ref="B33" dT="2020-10-14T21:31:20.44" personId="{F5FCFE7F-6D76-7449-82A4-73C07A97E794}" id="{37765969-6D96-364D-911E-05EFEFF16365}">
    <text xml:space="preserve">Projected extra coaching sessions purchased by Advanced participants; assumes 20% of teams in Advanced are buying coaching, with 50% of those 1 packs and 50% 3 packs </text>
  </threadedComment>
  <threadedComment ref="B34" dT="2020-10-22T20:11:00.60" personId="{F5FCFE7F-6D76-7449-82A4-73C07A97E794}" id="{6D7B5AB6-1D81-CF46-BC4F-43E210D427B2}">
    <text>Assumes 25% of Advanced teams buy 3 assessments for their team members</text>
  </threadedComment>
  <threadedComment ref="H41" dT="2020-10-13T21:35:11.93" personId="{F5FCFE7F-6D76-7449-82A4-73C07A97E794}" id="{6DCB0A0D-576C-1049-85A4-DF8209B4B8A8}">
    <text xml:space="preserve">St. John Seward second payment </text>
  </threadedComment>
  <threadedComment ref="B42" dT="2020-10-14T21:32:40.97" personId="{F5FCFE7F-6D76-7449-82A4-73C07A97E794}" id="{0AB02F55-05F0-3649-BB63-0312C003FF89}">
    <text>Only membership based on % of SN participants joining as members.</text>
  </threadedComment>
  <threadedComment ref="C53" dT="2020-10-15T19:07:47.11" personId="{F5FCFE7F-6D76-7449-82A4-73C07A97E794}" id="{D902D41F-BE0C-E54F-B994-E197F9F38737}">
    <text>Membership Platform</text>
  </threadedComment>
  <threadedComment ref="M53" dT="2020-09-17T20:26:11.79" personId="{F5FCFE7F-6D76-7449-82A4-73C07A97E794}" id="{CC5E0E2A-726A-4947-86C7-CCD27D1F7870}">
    <text>Virtuous license</text>
  </threadedComment>
  <threadedComment ref="B58" dT="2019-12-13T01:24:25.42" personId="{DE3DA967-B69A-404A-B88F-0DD05677A89E}" id="{42B7316F-6140-8647-835E-20AD76E6F0A8}">
    <text>Includes $600/mo virtuous management</text>
  </threadedComment>
  <threadedComment ref="C58" dT="2019-12-13T00:13:38.77" personId="{DE3DA967-B69A-404A-B88F-0DD05677A89E}" id="{ABB99EBB-921B-0448-8238-36ED093490E6}">
    <text>virtuous management + donor acquisition landing page + email drip campaign for donor acquisition</text>
  </threadedComment>
  <threadedComment ref="C58" dT="2020-10-14T21:39:58.51" personId="{F5FCFE7F-6D76-7449-82A4-73C07A97E794}" id="{6656AE08-8183-4E40-ADC2-2DB6C74A82D7}" parentId="{ABB99EBB-921B-0448-8238-36ED093490E6}">
    <text>First payment for Horseshoe Bay - $4300</text>
  </threadedComment>
  <threadedComment ref="E58" dT="2020-10-14T21:40:30.26" personId="{F5FCFE7F-6D76-7449-82A4-73C07A97E794}" id="{5CABCCD1-5D04-3D4C-98B2-749EBE0A94C6}">
    <text>Second payment to Horseshoe Bay - $4300</text>
  </threadedComment>
  <threadedComment ref="H58" dT="2020-10-14T21:40:59.00" personId="{F5FCFE7F-6D76-7449-82A4-73C07A97E794}" id="{5FA5BA84-117B-9042-B180-1B4480BA43C2}">
    <text>Third payment to Horseshoe Bay - $4300</text>
  </threadedComment>
  <threadedComment ref="I58" dT="2020-08-11T20:24:23.12" personId="{DE3DA967-B69A-404A-B88F-0DD05677A89E}" id="{6C2C9DCB-5D31-7A40-84C9-45AE98C5C866}">
    <text>$10,850 Horseshoe Bay payment</text>
  </threadedComment>
  <threadedComment ref="I58" dT="2020-10-14T21:41:32.25" personId="{F5FCFE7F-6D76-7449-82A4-73C07A97E794}" id="{69D6B4F8-007A-9248-A51B-E355AFEEBD1D}" parentId="{6C2C9DCB-5D31-7A40-84C9-45AE98C5C866}">
    <text>Fourth payment to Horseshoe Bay - $4300</text>
  </threadedComment>
  <threadedComment ref="K58" dT="2019-09-11T20:28:03.14" personId="{DE3DA967-B69A-404A-B88F-0DD05677A89E}" id="{9E58C2BF-31C9-5F42-88A3-0695748AF112}">
    <text>Remainder of Horseshoe Bay</text>
  </threadedComment>
  <threadedComment ref="K58" dT="2020-10-14T21:42:09.78" personId="{F5FCFE7F-6D76-7449-82A4-73C07A97E794}" id="{A4AFD722-AB14-094B-9559-C7CEF58F67F1}" parentId="{9E58C2BF-31C9-5F42-88A3-0695748AF112}">
    <text>Fifth payment to Horseshoe Bay - $4300 plus final reconciliation, estimated to be $11,500</text>
  </threadedComment>
  <threadedComment ref="L58" dT="2019-09-11T20:28:57.84" personId="{DE3DA967-B69A-404A-B88F-0DD05677A89E}" id="{52FF2AFB-BAEE-DA40-A006-B802016515F1}">
    <text>Digizent monthly + Dallas invitations</text>
  </threadedComment>
  <threadedComment ref="M58" dT="2019-09-11T20:32:00.11" personId="{DE3DA967-B69A-404A-B88F-0DD05677A89E}" id="{C6BF1A9D-7369-EB43-A172-9534446665CC}">
    <text>Digizent end-of-year $3,106 + $1,000 for Dallas event food</text>
  </threadedComment>
  <threadedComment ref="K70" dT="2020-08-11T20:27:46.42" personId="{DE3DA967-B69A-404A-B88F-0DD05677A89E}" id="{FA44F320-A6D1-6D49-8B8A-0733DC64872B}">
    <text>Feathr license</text>
  </threadedComment>
  <threadedComment ref="B71" dT="2020-10-19T22:36:06.73" personId="{F5FCFE7F-6D76-7449-82A4-73C07A97E794}" id="{E012D19D-54A6-0E45-AE84-A4CDC317C7FD}">
    <text>Unsure on this - Abigail will look into</text>
  </threadedComment>
  <threadedComment ref="L78" dT="2019-09-11T20:51:38.74" personId="{DE3DA967-B69A-404A-B88F-0DD05677A89E}" id="{27D8EF6A-11CE-044D-9A45-A336159316A2}">
    <text>Golf donor event travel</text>
  </threadedComment>
  <threadedComment ref="F84" dT="2020-10-22T19:07:24.18" personId="{F5FCFE7F-6D76-7449-82A4-73C07A97E794}" id="{35CB9D60-177C-394E-941C-60DF55CBDF48}">
    <text>Includes AV ($4000), Tech Support ($1000) and Medical Staff ($500)</text>
  </threadedComment>
  <threadedComment ref="G88" dT="2020-10-22T19:20:22.54" personId="{F5FCFE7F-6D76-7449-82A4-73C07A97E794}" id="{E830C449-7B08-B64B-8CAF-A1038FE28157}">
    <text>FiveTwo Staff (5) travel and hotel</text>
  </threadedComment>
  <threadedComment ref="B99" dT="2020-10-14T21:54:14.26" personId="{F5FCFE7F-6D76-7449-82A4-73C07A97E794}" id="{1C253DDA-57BC-7243-93EA-45AC016B183B}">
    <text xml:space="preserve">Includes assessments for Advanced team leaders, 25% of Advanced teams purchase 3 assessments </text>
  </threadedComment>
  <threadedComment ref="G99" dT="2020-10-14T21:56:57.69" personId="{F5FCFE7F-6D76-7449-82A4-73C07A97E794}" id="{5ECAC03F-51E2-604F-98DF-536A4909C7D3}">
    <text>Assessments for next month Accelerator</text>
  </threadedComment>
  <threadedComment ref="B100" dT="2020-10-14T22:05:29.78" personId="{F5FCFE7F-6D76-7449-82A4-73C07A97E794}" id="{A027D674-4C09-F448-A0DB-437F41BEB30D}">
    <text xml:space="preserve">Includes all projected coaching - Advanced included session (12x$200 / mo), 20% of Advanced teams purchase additional coaching, and 50% of that 20% are 3 packs. </text>
  </threadedComment>
  <threadedComment ref="I100" dT="2020-10-20T22:31:07.55" personId="{F5FCFE7F-6D76-7449-82A4-73C07A97E794}" id="{9980BD8A-71A0-A34A-BFC4-49D16FECB38F}">
    <text xml:space="preserve">Additional $2000/mo for monthly coaching for 10 Accelerator teams </text>
  </threadedComment>
  <threadedComment ref="K100" dT="2020-10-20T22:32:05.58" personId="{F5FCFE7F-6D76-7449-82A4-73C07A97E794}" id="{5131D31F-579C-1B4C-B711-D1D233EC804C}">
    <text xml:space="preserve">Additional $2000/mo for monthly coaching for 10 Accelerator teams </text>
  </threadedComment>
  <threadedComment ref="F104" dT="2020-10-14T00:19:38.11" personId="{F5FCFE7F-6D76-7449-82A4-73C07A97E794}" id="{461B2219-09BD-D94E-8E4C-4929AE13008A}">
    <text>Learn Dash annual fees</text>
  </threadedComment>
  <threadedComment ref="H108" dT="2020-10-14T00:39:17.79" personId="{F5FCFE7F-6D76-7449-82A4-73C07A97E794}" id="{34AC0C87-612B-6342-BA19-E60A0B0F1127}">
    <text>Assumes Bill is one trainer</text>
  </threadedComment>
  <threadedComment ref="K117" dT="2019-11-15T18:41:18.33" personId="{DE3DA967-B69A-404A-B88F-0DD05677A89E}" id="{F55F930D-FE10-F94E-9D0E-7E21F56580E0}">
    <text>forecasted at $10,450</text>
  </threadedComment>
  <threadedComment ref="B147" dT="2020-01-11T15:55:20.46" personId="{DE3DA967-B69A-404A-B88F-0DD05677A89E}" id="{76941F64-3600-3B48-900A-136317CC5905}">
    <text>Anticipated to start year with $519,869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71002D8A-A938-944D-A52A-78066BAC8C9B}">
    <text>Trinity Lisle $5k
Bethany $1250</text>
  </threadedComment>
  <threadedComment ref="B9" dT="2021-01-25T22:27:44.15" personId="{DE3DA967-B69A-404A-B88F-0DD05677A89E}" id="{609CD8AC-773A-E741-B22F-212FE164D9E5}" parentId="{71002D8A-A938-944D-A52A-78066BAC8C9B}">
    <text>Trinity Lisle $5k, Bethany $1250</text>
  </threadedComment>
  <threadedComment ref="B9" dT="2021-01-27T18:09:03.96" personId="{DE3DA967-B69A-404A-B88F-0DD05677A89E}" id="{2C06A2DA-1708-5F44-80A1-807B95DD8D7A}" parentId="{71002D8A-A938-944D-A52A-78066BAC8C9B}">
    <text>$5k Immanuel Macomb and $3k Messiah - Plano</text>
  </threadedComment>
  <threadedComment ref="G9" dT="2019-03-06T17:07:53.46" personId="{DE3DA967-B69A-404A-B88F-0DD05677A89E}" id="{6257DFB0-B06D-CD43-A7CF-BDF624123BD0}">
    <text>Trinity Lisle $5k</text>
  </threadedComment>
  <threadedComment ref="G9" dT="2019-07-10T18:36:03.04" personId="{DE3DA967-B69A-404A-B88F-0DD05677A89E}" id="{A56B84DE-28FE-C446-B09E-125E3EE83FB9}" parentId="{6257DFB0-B06D-CD43-A7CF-BDF624123BD0}">
    <text>Also includes Bethany 1250 and Summit 2500</text>
  </threadedComment>
  <threadedComment ref="G9" dT="2020-10-13T18:58:41.24" personId="{F5FCFE7F-6D76-7449-82A4-73C07A97E794}" id="{D99752E1-7743-1F43-A26D-733ED00B5ED3}" parentId="{6257DFB0-B06D-CD43-A7CF-BDF624123BD0}">
    <text>Summit 1250</text>
  </threadedComment>
  <threadedComment ref="J9" dT="2019-03-06T17:10:00.29" personId="{DE3DA967-B69A-404A-B88F-0DD05677A89E}" id="{5D907014-10D8-1E4A-80BD-4EF97E152545}">
    <text>Our Savior McKinney $12k
Summit $2,500
Gloria Dei $10,000</text>
  </threadedComment>
  <threadedComment ref="J9" dT="2020-10-13T19:25:31.37" personId="{F5FCFE7F-6D76-7449-82A4-73C07A97E794}" id="{87CB985F-0F23-5342-9C4F-9C2E5BEC61FD}" parentId="{5D907014-10D8-1E4A-80BD-4EF97E152545}">
    <text>Summit 1250; OSM - 0</text>
  </threadedComment>
  <threadedComment ref="M9" dT="2020-10-22T19:34:28.69" personId="{F5FCFE7F-6D76-7449-82A4-73C07A97E794}" id="{AC582EE4-5421-4744-884D-A85C4F29E87E}">
    <text>Summit 1250 and assumed additional $2500</text>
  </threadedComment>
  <threadedComment ref="B10" dT="2021-01-11T20:43:14.39" personId="{DE3DA967-B69A-404A-B88F-0DD05677A89E}" id="{F11289D6-6545-F241-8DEB-B39EAFD061E0}">
    <text>Includes $15k gift</text>
  </threadedComment>
  <threadedComment ref="D10" dT="2020-12-22T18:56:21.78" personId="{DE3DA967-B69A-404A-B88F-0DD05677A89E}" id="{681E775D-4618-C14F-AA8E-A36C7CB1A4CC}">
    <text>$10k Gloria Dei event
$10k Las Vegas donor</text>
  </threadedComment>
  <threadedComment ref="H10" dT="2020-05-12T18:15:28.64" personId="{DE3DA967-B69A-404A-B88F-0DD05677A89E}" id="{F2D4B8AB-DA64-A747-A3E3-70ADAA5DB481}">
    <text>$5k added for virtual donor Las Vegas</text>
  </threadedComment>
  <threadedComment ref="H10" dT="2020-08-11T20:17:06.27" personId="{DE3DA967-B69A-404A-B88F-0DD05677A89E}" id="{293DDDE0-1AF2-7C4C-856E-91187EAE1FEB}" parentId="{F2D4B8AB-DA64-A747-A3E3-70ADAA5DB481}">
    <text>Did not happen.</text>
  </threadedComment>
  <threadedComment ref="I10" dT="2020-07-27T19:53:34.28" personId="{DE3DA967-B69A-404A-B88F-0DD05677A89E}" id="{8D83496D-21DA-1A41-9260-6013FCAE90CB}">
    <text>Cook $30k gift for golf event</text>
  </threadedComment>
  <threadedComment ref="K10" dT="2020-10-13T22:46:27.36" personId="{F5FCFE7F-6D76-7449-82A4-73C07A97E794}" id="{CBD08851-5D94-994B-9FA7-B05853185D1E}">
    <text>Golf, Give, Grow Getaway</text>
  </threadedComment>
  <threadedComment ref="L10" dT="2020-10-22T19:38:39.51" personId="{F5FCFE7F-6D76-7449-82A4-73C07A97E794}" id="{EDCA76B9-EE08-3842-AD28-DB82667CF158}">
    <text>Year end campaign</text>
  </threadedComment>
  <threadedComment ref="A13" dT="2020-10-15T18:37:01.56" personId="{F5FCFE7F-6D76-7449-82A4-73C07A97E794}" id="{7E1E54FA-45F5-C149-8BEE-7C1E051E335E}">
    <text xml:space="preserve">Work in Summits starting in Q2.    </text>
  </threadedComment>
  <threadedComment ref="F14" dT="2020-10-22T19:12:39.69" personId="{F5FCFE7F-6D76-7449-82A4-73C07A97E794}" id="{5F0229A9-136C-8B42-82CF-CE96C9BCB1A7}">
    <text xml:space="preserve">$34k revenue from each conference assumes 200 attendees and pricing of $149 (early bird) and $179.  </text>
  </threadedComment>
  <threadedComment ref="K37" dT="2020-12-09T22:23:25.05" personId="{DE3DA967-B69A-404A-B88F-0DD05677A89E}" id="{0F17589D-FB0C-DC42-ACCA-C3D46264E1C2}">
    <text xml:space="preserve">$87000
</text>
  </threadedComment>
  <threadedComment ref="D41" dT="2021-02-10T20:13:00.80" personId="{DE3DA967-B69A-404A-B88F-0DD05677A89E}" id="{DD49914E-3302-8448-AD0B-C3C4923E1096}">
    <text>St. John’s Seward cancelled - was $7500</text>
  </threadedComment>
  <threadedComment ref="G41" dT="2021-02-10T20:13:00.80" personId="{DE3DA967-B69A-404A-B88F-0DD05677A89E}" id="{ED362FF8-51A2-CA44-8CD1-F0B54D78DE2A}">
    <text>St. John’s Seward cancelled - was $7500</text>
  </threadedComment>
  <threadedComment ref="J41" dT="2021-02-10T20:13:00.80" personId="{DE3DA967-B69A-404A-B88F-0DD05677A89E}" id="{5FF2CC78-3F1A-0A44-9D95-8BF121EB21C4}">
    <text>St. John’s Seward cancelled - was $7500</text>
  </threadedComment>
  <threadedComment ref="M41" dT="2021-02-10T20:13:00.80" personId="{DE3DA967-B69A-404A-B88F-0DD05677A89E}" id="{DF13E2E1-6672-5F43-9A43-EBCFD6D44105}">
    <text>St. John’s Seward cancelled - was $7500</text>
  </threadedComment>
  <threadedComment ref="B42" dT="2020-10-14T21:32:40.97" personId="{F5FCFE7F-6D76-7449-82A4-73C07A97E794}" id="{7F2F7780-8E2C-D541-8771-2DCC9AFC3E72}">
    <text>Only membership based on % of SN participants joining as members.</text>
  </threadedComment>
  <threadedComment ref="M53" dT="2020-09-17T20:26:11.79" personId="{F5FCFE7F-6D76-7449-82A4-73C07A97E794}" id="{6F0B5A82-3B1D-9349-BF2B-381098A9C15A}">
    <text>Virtuous license</text>
  </threadedComment>
  <threadedComment ref="B58" dT="2020-12-08T16:16:26.12" personId="{DE3DA967-B69A-404A-B88F-0DD05677A89E}" id="{4DBCE831-23D6-E640-BBB4-1FF4DB939D4D}">
    <text>$3k monthly</text>
  </threadedComment>
  <threadedComment ref="C58" dT="2021-03-04T17:56:13.60" personId="{DE3DA967-B69A-404A-B88F-0DD05677A89E}" id="{4C6FA924-3CBA-7544-8C4F-69FD19F00F07}">
    <text>$1300 - Gloria Dei donor event
$1800 - 2020 Donor thank you gifts</text>
  </threadedComment>
  <threadedComment ref="D58" dT="2020-10-22T20:32:42.69" personId="{F5FCFE7F-6D76-7449-82A4-73C07A97E794}" id="{8C653D63-004B-6B4B-B410-11112BE2050D}">
    <text>First payment for Horseshoe Bay - $8500</text>
  </threadedComment>
  <threadedComment ref="E58" dT="2020-10-14T21:40:30.26" personId="{F5FCFE7F-6D76-7449-82A4-73C07A97E794}" id="{9CC99C56-1A37-0D4C-944F-701827930E28}">
    <text>Second payment to Horseshoe Bay - $8500</text>
  </threadedComment>
  <threadedComment ref="H58" dT="2020-10-14T21:40:59.00" personId="{F5FCFE7F-6D76-7449-82A4-73C07A97E794}" id="{69097A93-BC29-CA4C-9938-9142D0ACFA26}">
    <text>Third payment to Horseshoe Bay - $8500</text>
  </threadedComment>
  <threadedComment ref="I58" dT="2020-10-22T20:34:34.93" personId="{F5FCFE7F-6D76-7449-82A4-73C07A97E794}" id="{20A8D935-BBC8-7C48-932F-C6026E3CE85D}">
    <text>Fourth
 payment to Horseshoe Bay - $8500</text>
  </threadedComment>
  <threadedComment ref="J58" dT="2020-10-22T20:38:43.00" personId="{F5FCFE7F-6D76-7449-82A4-73C07A97E794}" id="{81C95577-9B1E-F243-B09B-FF861A74F500}">
    <text>Includes $15k for golf outing materials, such as gift bags, etc.</text>
  </threadedComment>
  <threadedComment ref="K58" dT="2020-10-22T20:36:15.59" personId="{F5FCFE7F-6D76-7449-82A4-73C07A97E794}" id="{719DF5D0-CE7B-544B-BEAC-B6C5F8A4DBDC}">
    <text>Final payment to Horseshoe Bay (Estimated $3
5,000)</text>
  </threadedComment>
  <threadedComment ref="L58" dT="2019-09-11T20:28:57.84" personId="{DE3DA967-B69A-404A-B88F-0DD05677A89E}" id="{9CE20661-37E5-4846-BFFD-AB4347B3CBD8}">
    <text>Digizent monthly + Dallas invitations</text>
  </threadedComment>
  <threadedComment ref="M58" dT="2019-09-11T20:32:00.11" personId="{DE3DA967-B69A-404A-B88F-0DD05677A89E}" id="{F9FE9CC5-00D3-2D49-ACBB-6ACFEC1EB28F}">
    <text>Digizent end-of-year $3,106 + $1,000 for Dallas event food</text>
  </threadedComment>
  <threadedComment ref="B63" dT="2021-02-10T19:41:52.43" personId="{DE3DA967-B69A-404A-B88F-0DD05677A89E}" id="{EF277DD1-CE91-5542-ADFF-0BCEB97942C4}">
    <text>$3746 Feathr
$500 podcast agent</text>
  </threadedComment>
  <threadedComment ref="C63" dT="2021-02-10T19:58:11.57" personId="{DE3DA967-B69A-404A-B88F-0DD05677A89E}" id="{0A26406D-4E62-0441-8900-4DEA1AD97B01}">
    <text>$2600 - digizent 
$6250 - feathr 6 mo contract
$1500 - unseminary
$6250 - Highland
$4000 - BigClick</text>
  </threadedComment>
  <threadedComment ref="K69" dT="2020-08-11T20:27:46.42" personId="{DE3DA967-B69A-404A-B88F-0DD05677A89E}" id="{7C5C311F-31F7-AA4B-82DB-1572F910C7A0}">
    <text>Feathr license</text>
  </threadedComment>
  <threadedComment ref="D70" dT="2021-03-04T18:00:02.16" personId="{DE3DA967-B69A-404A-B88F-0DD05677A89E}" id="{4D2BA1C1-BC57-7D44-9DDC-4AF4D2315557}">
    <text>$6000 - BigClick</text>
  </threadedComment>
  <threadedComment ref="E70" dT="2021-03-04T20:55:40.44" personId="{DE3DA967-B69A-404A-B88F-0DD05677A89E}" id="{174EB26B-912F-584A-BBE4-F4AD96E348E4}">
    <text>Highland Solutions final payment</text>
  </threadedComment>
  <threadedComment ref="C71" dT="2021-02-10T19:58:26.63" personId="{DE3DA967-B69A-404A-B88F-0DD05677A89E}" id="{45F0E3F2-B1D6-AE4A-A453-64EFC7CA0CD7}">
    <text>digizent</text>
  </threadedComment>
  <threadedComment ref="L74" dT="2019-09-11T20:51:38.74" personId="{DE3DA967-B69A-404A-B88F-0DD05677A89E}" id="{8D4F697B-3862-0241-BB8F-FF5C327EA6D7}">
    <text>Golf donor event travel</text>
  </threadedComment>
  <threadedComment ref="G94" dT="2020-10-14T21:56:57.69" personId="{F5FCFE7F-6D76-7449-82A4-73C07A97E794}" id="{7D4D872B-E8CA-EB47-B783-9E632DD3493F}">
    <text>Assessments for next month Accelerator</text>
  </threadedComment>
  <threadedComment ref="F98" dT="2020-10-14T00:19:38.11" personId="{F5FCFE7F-6D76-7449-82A4-73C07A97E794}" id="{40B4107D-6767-BF4E-9EB3-81DA9852B670}">
    <text>Learn Dash annual fees</text>
  </threadedComment>
  <threadedComment ref="K100" dT="2020-10-20T23:03:01.18" personId="{F5FCFE7F-6D76-7449-82A4-73C07A97E794}" id="{4F3FB6DE-BDD4-2F44-9135-A935AEB48B71}">
    <text>Assumes Bill is one trainer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W39" dT="2019-04-12T21:03:05.42" personId="{DE3DA967-B69A-404A-B88F-0DD05677A89E}" id="{18FD6C3A-C458-4E47-A9F6-ED0D6BD2FAE5}">
    <text>3 Decatur teams</text>
  </threadedComment>
  <threadedComment ref="Y39" dT="2019-07-10T18:16:49.12" personId="{DE3DA967-B69A-404A-B88F-0DD05677A89E}" id="{AA0EB3AA-79BA-7844-94B8-D2E514BA9E4D}">
    <text>3 Albany teams</text>
  </threadedComment>
  <threadedComment ref="Z39" dT="2019-07-10T18:17:17.00" personId="{DE3DA967-B69A-404A-B88F-0DD05677A89E}" id="{43538D9F-9ED0-3B49-B455-7E043AA1CCE9}">
    <text>Orlando Teams</text>
  </threadedComment>
  <threadedComment ref="W40" dT="2019-04-12T21:02:42.73" personId="{DE3DA967-B69A-404A-B88F-0DD05677A89E}" id="{C9B48D02-67D1-1542-8D81-3CD4751D8002}">
    <text>NYC teams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80C32879-55E8-194A-98FD-5D6922018583}">
    <text>Trinity Lisle $5k
Bethany $1250</text>
  </threadedComment>
  <threadedComment ref="G9" dT="2019-03-06T17:07:53.46" personId="{DE3DA967-B69A-404A-B88F-0DD05677A89E}" id="{E1C8DE14-8DE5-6245-81B6-6974C4995FB3}">
    <text>Trinity Lisle $5k</text>
  </threadedComment>
  <threadedComment ref="G9" dT="2019-07-10T18:36:03.04" personId="{DE3DA967-B69A-404A-B88F-0DD05677A89E}" id="{3F76CE39-30BD-AF4A-9542-853AAE62BE2B}" parentId="{E1C8DE14-8DE5-6245-81B6-6974C4995FB3}">
    <text>Also includes Bethany 1250 and Summit 2500</text>
  </threadedComment>
  <threadedComment ref="G9" dT="2020-10-13T18:58:41.24" personId="{F5FCFE7F-6D76-7449-82A4-73C07A97E794}" id="{0B064285-41E0-244E-A13A-1FCE56084E1D}" parentId="{E1C8DE14-8DE5-6245-81B6-6974C4995FB3}">
    <text>Summit 1250</text>
  </threadedComment>
  <threadedComment ref="J9" dT="2019-03-06T17:10:00.29" personId="{DE3DA967-B69A-404A-B88F-0DD05677A89E}" id="{1FA88DDE-B296-8543-ABA6-BE4E7EADE72A}">
    <text>Our Savior McKinney $12k
Summit $2,500
Gloria Dei $10,000</text>
  </threadedComment>
  <threadedComment ref="J9" dT="2020-10-13T19:25:31.37" personId="{F5FCFE7F-6D76-7449-82A4-73C07A97E794}" id="{18B2E6A2-75B9-BF42-98D5-9EE55B4E4B60}" parentId="{1FA88DDE-B296-8543-ABA6-BE4E7EADE72A}">
    <text>Summit 1250; OSM - 0</text>
  </threadedComment>
  <threadedComment ref="M9" dT="2020-10-22T19:34:28.69" personId="{F5FCFE7F-6D76-7449-82A4-73C07A97E794}" id="{E52362EA-F84D-044A-AF11-295C42B49C08}">
    <text>Summit 1250 and assumed additional $2500</text>
  </threadedComment>
  <threadedComment ref="B10" dT="2019-03-06T17:24:09.16" personId="{DE3DA967-B69A-404A-B88F-0DD05677A89E}" id="{6D4877F0-0CD8-E441-BE5A-74061247D5C7}">
    <text>Donor’s $15k
Normal</text>
  </threadedComment>
  <threadedComment ref="B10" dT="2020-01-11T15:41:13.19" personId="{DE3DA967-B69A-404A-B88F-0DD05677A89E}" id="{37881DF6-5B7B-6F46-9D82-29544E22A9B9}" parentId="{6D4877F0-0CD8-E441-BE5A-74061247D5C7}">
    <text>Donor gave this in Dec ‘19</text>
  </threadedComment>
  <threadedComment ref="B10" dT="2020-10-13T19:33:17.87" personId="{F5FCFE7F-6D76-7449-82A4-73C07A97E794}" id="{1108F3B4-A01C-7149-BB47-6C149D763119}" parentId="{6D4877F0-0CD8-E441-BE5A-74061247D5C7}">
    <text>Unsure of this.</text>
  </threadedComment>
  <threadedComment ref="I10" dT="2020-07-27T19:53:34.28" personId="{DE3DA967-B69A-404A-B88F-0DD05677A89E}" id="{5BB9DAAB-1BE8-A548-95DC-AAF6EF30DC98}">
    <text>Cook $30k gift for golf event</text>
  </threadedComment>
  <threadedComment ref="K10" dT="2020-10-13T22:46:27.36" personId="{F5FCFE7F-6D76-7449-82A4-73C07A97E794}" id="{F88269D9-8178-0D45-A1EF-CA9A7300489E}">
    <text>Golf, Give, Grow Getaway</text>
  </threadedComment>
  <threadedComment ref="L10" dT="2020-10-22T19:38:39.51" personId="{F5FCFE7F-6D76-7449-82A4-73C07A97E794}" id="{E1CD4143-D276-E04E-8B59-D82970CF35DD}">
    <text>Year end campaign</text>
  </threadedComment>
  <threadedComment ref="A13" dT="2020-10-15T18:37:01.56" personId="{F5FCFE7F-6D76-7449-82A4-73C07A97E794}" id="{9011292E-8E26-8A40-8E8F-ECC613A3CCF8}">
    <text xml:space="preserve">Work in Summits starting in Q2.    </text>
  </threadedComment>
  <threadedComment ref="F14" dT="2020-10-22T19:12:39.69" personId="{F5FCFE7F-6D76-7449-82A4-73C07A97E794}" id="{DA9A449E-304E-6740-BDCA-2E0D1EBF5F06}">
    <text xml:space="preserve">$34k revenue from each conference assumes 200 attendees and pricing of $149 (early bird) and $179.  </text>
  </threadedComment>
  <threadedComment ref="B33" dT="2020-10-14T21:31:20.44" personId="{F5FCFE7F-6D76-7449-82A4-73C07A97E794}" id="{59E619B6-93D7-4741-A8A7-10BDF0E36C98}">
    <text xml:space="preserve">Projected extra coaching sessions purchased by Advanced participants; assumes 20% of teams in Advanced are buying coaching, with 50% of those 1 packs and 50% 3 packs </text>
  </threadedComment>
  <threadedComment ref="B34" dT="2020-10-22T20:11:00.60" personId="{F5FCFE7F-6D76-7449-82A4-73C07A97E794}" id="{BE132CEA-88CF-2B43-99B3-8A8C4EE56B13}">
    <text>Assumes 25% of Advanced teams buy 3 assessments for their team members</text>
  </threadedComment>
  <threadedComment ref="B36" dT="2020-10-22T20:17:37.96" personId="{F5FCFE7F-6D76-7449-82A4-73C07A97E794}" id="{BFBA7EFB-F6F5-1A49-8158-A55E4128215B}">
    <text>Assumes 12 teams monthly in 2 cohorts</text>
  </threadedComment>
  <threadedComment ref="G41" dT="2020-10-22T20:19:55.79" personId="{F5FCFE7F-6D76-7449-82A4-73C07A97E794}" id="{16F5F49F-1634-1F4F-A80A-792729700583}">
    <text>St. John Seward second payment</text>
  </threadedComment>
  <threadedComment ref="J41" dT="2020-10-22T20:20:08.54" personId="{F5FCFE7F-6D76-7449-82A4-73C07A97E794}" id="{19D36E8B-8B2B-8A49-BD10-9446431A334F}">
    <text>St. John Seward third
 payment</text>
  </threadedComment>
  <threadedComment ref="M41" dT="2020-10-22T20:20:21.41" personId="{F5FCFE7F-6D76-7449-82A4-73C07A97E794}" id="{10D1B258-CD25-9646-9224-AA03A35E65F6}">
    <text>St. John Seward final payment</text>
  </threadedComment>
  <threadedComment ref="B42" dT="2020-10-14T21:32:40.97" personId="{F5FCFE7F-6D76-7449-82A4-73C07A97E794}" id="{26A944BE-0188-2843-AF31-ED07C0EBDBA5}">
    <text>Only membership based on % of SN participants joining as members.</text>
  </threadedComment>
  <threadedComment ref="C53" dT="2020-10-15T19:07:47.11" personId="{F5FCFE7F-6D76-7449-82A4-73C07A97E794}" id="{082B8717-8306-B14C-BE51-D96A262131DB}">
    <text>Membership Platform</text>
  </threadedComment>
  <threadedComment ref="M53" dT="2020-09-17T20:26:11.79" personId="{F5FCFE7F-6D76-7449-82A4-73C07A97E794}" id="{2B1AF904-407E-A044-BB5D-05A671205E6A}">
    <text>Virtuous license</text>
  </threadedComment>
  <threadedComment ref="C58" dT="2020-10-22T20:32:42.69" personId="{F5FCFE7F-6D76-7449-82A4-73C07A97E794}" id="{8E95F37E-2F60-FC41-9236-9B8A813ACBA0}">
    <text>First payment for Horseshoe Bay - $8500</text>
  </threadedComment>
  <threadedComment ref="E58" dT="2020-10-14T21:40:30.26" personId="{F5FCFE7F-6D76-7449-82A4-73C07A97E794}" id="{F7413DFC-FD1E-F043-9EB5-FC0C7C08109A}">
    <text>Second payment to Horseshoe Bay - $8500</text>
  </threadedComment>
  <threadedComment ref="H58" dT="2020-10-14T21:40:59.00" personId="{F5FCFE7F-6D76-7449-82A4-73C07A97E794}" id="{81884336-A65D-244A-B0B5-3DDA3CEECB0D}">
    <text>Third payment to Horseshoe Bay - $8500</text>
  </threadedComment>
  <threadedComment ref="I58" dT="2020-10-22T20:34:34.93" personId="{F5FCFE7F-6D76-7449-82A4-73C07A97E794}" id="{1AED05A2-1A1F-F340-82AE-01DBE1C23B54}">
    <text>Fourth
 payment to Horseshoe Bay - $8500</text>
  </threadedComment>
  <threadedComment ref="J58" dT="2020-10-22T20:38:43.00" personId="{F5FCFE7F-6D76-7449-82A4-73C07A97E794}" id="{E99BE9B4-CDCA-F34A-BB1C-0C9230B88A8B}">
    <text>Includes $15k for golf outing materials, such as gift bags, etc.</text>
  </threadedComment>
  <threadedComment ref="K58" dT="2020-10-22T20:36:15.59" personId="{F5FCFE7F-6D76-7449-82A4-73C07A97E794}" id="{7DFF41BA-E8F4-4E40-95C2-1AB88C3692BB}">
    <text>Final payment to Horseshoe Bay (Estimated $3
5,000)</text>
  </threadedComment>
  <threadedComment ref="L58" dT="2019-09-11T20:28:57.84" personId="{DE3DA967-B69A-404A-B88F-0DD05677A89E}" id="{67D52C4A-B3BD-A644-ADE8-F84B6D626807}">
    <text>Digizent monthly + Dallas invitations</text>
  </threadedComment>
  <threadedComment ref="M58" dT="2019-09-11T20:32:00.11" personId="{DE3DA967-B69A-404A-B88F-0DD05677A89E}" id="{69E4D199-58EC-874E-8FE9-1A0627E2DCFC}">
    <text>Digizent end-of-year $3,106 + $1,000 for Dallas event food</text>
  </threadedComment>
  <threadedComment ref="K68" dT="2020-08-11T20:27:46.42" personId="{DE3DA967-B69A-404A-B88F-0DD05677A89E}" id="{5DFA5C05-FAE6-0542-BD41-E67AE4648A14}">
    <text>Feathr license</text>
  </threadedComment>
  <threadedComment ref="L73" dT="2019-09-11T20:51:38.74" personId="{DE3DA967-B69A-404A-B88F-0DD05677A89E}" id="{2667A3F5-26C7-8743-AE2D-04E1C5E39D00}">
    <text>Golf donor event travel</text>
  </threadedComment>
  <threadedComment ref="F78" dT="2020-10-22T19:07:24.18" personId="{F5FCFE7F-6D76-7449-82A4-73C07A97E794}" id="{77BA51B3-181B-9C43-ACCC-1508E34B7827}">
    <text>Includes AV ($4000), Tech Support ($1000) and Medical Staff ($500)</text>
  </threadedComment>
  <threadedComment ref="G82" dT="2020-10-22T19:20:22.54" personId="{F5FCFE7F-6D76-7449-82A4-73C07A97E794}" id="{047BA829-D6F4-4F4C-8EFC-C084977A955D}">
    <text>FiveTwo Staff (5) travel and hotel</text>
  </threadedComment>
  <threadedComment ref="B93" dT="2020-10-14T21:54:14.26" personId="{F5FCFE7F-6D76-7449-82A4-73C07A97E794}" id="{12DF7E14-4F50-D64D-892A-C3E4D5DAE94B}">
    <text xml:space="preserve">Includes assessments for Advanced team leaders, 25% of Advanced teams purchase 3 assessments </text>
  </threadedComment>
  <threadedComment ref="G93" dT="2020-10-14T21:56:57.69" personId="{F5FCFE7F-6D76-7449-82A4-73C07A97E794}" id="{97DD6B3B-5EBB-D448-9E06-0F36A44163DE}">
    <text>Assessments for next month Accelerator</text>
  </threadedComment>
  <threadedComment ref="B94" dT="2020-10-14T22:05:29.78" personId="{F5FCFE7F-6D76-7449-82A4-73C07A97E794}" id="{0D3BB3A9-B7B2-0E47-9D5C-19D4EB20A643}">
    <text xml:space="preserve">Includes all projected coaching - Advanced included session (12x$200 / mo), 20% of Advanced teams purchase additional coaching, and 50% of that 20% are 3 packs. </text>
  </threadedComment>
  <threadedComment ref="I94" dT="2020-10-20T22:31:07.55" personId="{F5FCFE7F-6D76-7449-82A4-73C07A97E794}" id="{57DBCB69-D54E-C84F-8A71-10E61AF7E054}">
    <text xml:space="preserve">Additional $2000/mo for monthly coaching for 10 Accelerator teams </text>
  </threadedComment>
  <threadedComment ref="K94" dT="2020-10-20T22:32:05.58" personId="{F5FCFE7F-6D76-7449-82A4-73C07A97E794}" id="{AF94A615-82D1-5644-83E3-DF78B31782C1}">
    <text xml:space="preserve">Additional $2000/mo for monthly coaching for 10 Accelerator teams </text>
  </threadedComment>
  <threadedComment ref="F97" dT="2020-10-14T00:19:38.11" personId="{F5FCFE7F-6D76-7449-82A4-73C07A97E794}" id="{18AFB9B0-8374-8745-8499-757F051BD6B8}">
    <text>Learn Dash annual fees</text>
  </threadedComment>
  <threadedComment ref="H99" dT="2020-10-14T00:39:17.79" personId="{F5FCFE7F-6D76-7449-82A4-73C07A97E794}" id="{C7E074C2-7564-9A42-A8CB-F886156A7AF1}">
    <text>Assumes Bill is one trainer</text>
  </threadedComment>
  <threadedComment ref="K108" dT="2019-11-15T18:41:18.33" personId="{DE3DA967-B69A-404A-B88F-0DD05677A89E}" id="{E3EE37F0-84AD-1F48-A6DC-D6A1902FBC6C}">
    <text>forecasted at $10,450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690F9BBB-479D-5A49-8738-98008AB0008B}">
    <text>Trinity Lisle $5k
Bethany $1250</text>
  </threadedComment>
  <threadedComment ref="C9" dT="2019-02-13T20:51:58.96" personId="{DE3DA967-B69A-404A-B88F-0DD05677A89E}" id="{886A300E-F8D5-7646-935E-D7A6F7C13D09}">
    <text>Summit $2500+$2500
Bethany $1250
Trinity $5000</text>
  </threadedComment>
  <threadedComment ref="C9" dT="2020-10-13T18:39:48.51" personId="{F5FCFE7F-6D76-7449-82A4-73C07A97E794}" id="{A7A03529-5F6E-244F-BED2-1CD7F8F67529}" parentId="{886A300E-F8D5-7646-935E-D7A6F7C13D09}">
    <text>No Summit; Trinity in Jan.</text>
  </threadedComment>
  <threadedComment ref="D9" dT="2020-03-13T17:51:24.01" personId="{DE3DA967-B69A-404A-B88F-0DD05677A89E}" id="{CA3BFEE4-573E-AC47-89D6-28E81D9E8712}">
    <text>Summit $2500</text>
  </threadedComment>
  <threadedComment ref="D9" dT="2020-10-13T18:57:37.67" personId="{F5FCFE7F-6D76-7449-82A4-73C07A97E794}" id="{44CFBB63-E4FA-C04B-A09A-B84DF4637DBE}" parentId="{CA3BFEE4-573E-AC47-89D6-28E81D9E8712}">
    <text>Summit - 1250</text>
  </threadedComment>
  <threadedComment ref="F9" dT="2019-03-06T17:04:34.55" personId="{DE3DA967-B69A-404A-B88F-0DD05677A89E}" id="{FC38FFB9-52C4-5C41-8D01-9736ACD1F89F}">
    <text>Bethany 
St. Paul - Trenton - min. $2k</text>
  </threadedComment>
  <threadedComment ref="G9" dT="2019-03-06T17:07:53.46" personId="{DE3DA967-B69A-404A-B88F-0DD05677A89E}" id="{3170FDAA-A058-0445-83D4-E8C36BA7B766}">
    <text>Trinity Lisle $5k</text>
  </threadedComment>
  <threadedComment ref="G9" dT="2019-07-10T18:36:03.04" personId="{DE3DA967-B69A-404A-B88F-0DD05677A89E}" id="{86D5E220-B3D1-FC4E-A9BE-92DE65E5635D}" parentId="{3170FDAA-A058-0445-83D4-E8C36BA7B766}">
    <text>Also includes Bethany 1250 and Summit 2500</text>
  </threadedComment>
  <threadedComment ref="G9" dT="2020-10-13T18:58:41.24" personId="{F5FCFE7F-6D76-7449-82A4-73C07A97E794}" id="{5C986823-2928-624C-ABBB-BC8BC41E49A1}" parentId="{3170FDAA-A058-0445-83D4-E8C36BA7B766}">
    <text>Summit 1250</text>
  </threadedComment>
  <threadedComment ref="J9" dT="2019-03-06T17:10:00.29" personId="{DE3DA967-B69A-404A-B88F-0DD05677A89E}" id="{53110E66-4008-D54E-86C4-13382413E01C}">
    <text>Our Savior McKinney $12k
Summit $2,500
Gloria Dei $10,000</text>
  </threadedComment>
  <threadedComment ref="J9" dT="2020-10-13T19:25:31.37" personId="{F5FCFE7F-6D76-7449-82A4-73C07A97E794}" id="{A49B1C40-E8EA-AE4D-837C-8F9EE7D1A24F}" parentId="{53110E66-4008-D54E-86C4-13382413E01C}">
    <text>Summit 1250; OSM - 0</text>
  </threadedComment>
  <threadedComment ref="M9" dT="2019-03-06T17:23:44.11" personId="{DE3DA967-B69A-404A-B88F-0DD05677A89E}" id="{9D08C0BC-1CAB-6C48-B6EB-BA33E0DEC233}">
    <text>Summit $2.5k</text>
  </threadedComment>
  <threadedComment ref="M9" dT="2020-09-15T23:10:42.90" personId="{F5FCFE7F-6D76-7449-82A4-73C07A97E794}" id="{8A47BBD1-8C3D-AF4E-9D2C-489FE297E3CA}" parentId="{9D08C0BC-1CAB-6C48-B6EB-BA33E0DEC233}">
    <text xml:space="preserve">Summit 1250 and assumed additional $2500
</text>
  </threadedComment>
  <threadedComment ref="B10" dT="2019-03-06T17:24:09.16" personId="{DE3DA967-B69A-404A-B88F-0DD05677A89E}" id="{51D43946-B194-3740-9C30-D31F80DB7ABB}">
    <text>Donor’s $15k
Normal</text>
  </threadedComment>
  <threadedComment ref="B10" dT="2020-01-11T15:41:13.19" personId="{DE3DA967-B69A-404A-B88F-0DD05677A89E}" id="{3306DD3D-52EC-FF46-813F-9892DE3827AC}" parentId="{51D43946-B194-3740-9C30-D31F80DB7ABB}">
    <text>Donor gave this in Dec ‘19</text>
  </threadedComment>
  <threadedComment ref="B10" dT="2020-10-13T19:33:17.87" personId="{F5FCFE7F-6D76-7449-82A4-73C07A97E794}" id="{F724D100-5FF8-BF44-9E94-44D2BB8404BB}" parentId="{51D43946-B194-3740-9C30-D31F80DB7ABB}">
    <text>Unsure of this.</text>
  </threadedComment>
  <threadedComment ref="F10" dT="2019-12-10T22:06:56.36" personId="{DE3DA967-B69A-404A-B88F-0DD05677A89E}" id="{460B0B54-30F9-EA4C-ABEF-C1F5A9636B75}">
    <text>Decatur donor - $15k</text>
  </threadedComment>
  <threadedComment ref="H10" dT="2020-05-12T18:15:28.64" personId="{DE3DA967-B69A-404A-B88F-0DD05677A89E}" id="{CEA1A9E1-5EAF-4C4A-B3C0-E7C235DD256A}">
    <text>$5k added for virtual donor Las Vegas</text>
  </threadedComment>
  <threadedComment ref="H10" dT="2020-08-11T20:17:06.27" personId="{DE3DA967-B69A-404A-B88F-0DD05677A89E}" id="{1B7546C6-C30B-5340-9490-0EDA3FF6F27A}" parentId="{CEA1A9E1-5EAF-4C4A-B3C0-E7C235DD256A}">
    <text>Did not happen.</text>
  </threadedComment>
  <threadedComment ref="I10" dT="2020-07-27T19:53:34.28" personId="{DE3DA967-B69A-404A-B88F-0DD05677A89E}" id="{72FDCD6F-ADCE-2E41-B452-F44A05480954}">
    <text>Cook $30k gift for golf event</text>
  </threadedComment>
  <threadedComment ref="K10" dT="2020-10-13T22:46:27.36" personId="{F5FCFE7F-6D76-7449-82A4-73C07A97E794}" id="{25BB9709-FBAE-B941-A934-A4095E808D46}">
    <text>Golf, Give, Grow Getaway</text>
  </threadedComment>
  <threadedComment ref="L10" dT="2019-09-11T20:17:02.18" personId="{DE3DA967-B69A-404A-B88F-0DD05677A89E}" id="{9D6751B4-722C-A448-8127-5754583EDDA2}">
    <text>$16k year end</text>
  </threadedComment>
  <threadedComment ref="L10" dT="2019-12-10T21:59:06.90" personId="{DE3DA967-B69A-404A-B88F-0DD05677A89E}" id="{445C6757-A998-E545-8AC9-AFED94D3E552}" parentId="{9D6751B4-722C-A448-8127-5754583EDDA2}">
    <text>2019 real number was $34,570</text>
  </threadedComment>
  <threadedComment ref="L10" dT="2020-07-27T19:54:21.57" personId="{DE3DA967-B69A-404A-B88F-0DD05677A89E}" id="{001850C2-AEB9-7343-AE19-BDA7E1E936BA}" parentId="{9D6751B4-722C-A448-8127-5754583EDDA2}">
    <text>Deleted Cook $20k gift; moved to Aug and made it $30k</text>
  </threadedComment>
  <threadedComment ref="A13" dT="2020-10-15T18:37:01.56" personId="{F5FCFE7F-6D76-7449-82A4-73C07A97E794}" id="{7D8851C2-9CFD-BD42-AD7F-E4A5E7DDB182}">
    <text xml:space="preserve">Work in Summits starting in Q2.    </text>
  </threadedComment>
  <threadedComment ref="F14" dT="2020-10-22T19:12:39.69" personId="{F5FCFE7F-6D76-7449-82A4-73C07A97E794}" id="{D9A56B78-98EF-834A-8DB6-1FE5D3E138FF}">
    <text xml:space="preserve">$34k revenue from each conference assumes 200 attendees and pricing of $149 (early bird) and $179.  </text>
  </threadedComment>
  <threadedComment ref="B33" dT="2020-10-14T21:31:20.44" personId="{F5FCFE7F-6D76-7449-82A4-73C07A97E794}" id="{0B95FE29-C65C-134A-84F7-7051ED69CFD6}">
    <text>Projected extra coaching sessions purchased by Advanced participants</text>
  </threadedComment>
  <threadedComment ref="G41" dT="2020-10-22T20:19:55.79" personId="{F5FCFE7F-6D76-7449-82A4-73C07A97E794}" id="{D595E9B0-6B9B-3747-85A8-4108F7CECFF0}">
    <text>St. John Seward second payment</text>
  </threadedComment>
  <threadedComment ref="J41" dT="2020-10-22T20:20:08.54" personId="{F5FCFE7F-6D76-7449-82A4-73C07A97E794}" id="{1D690F0E-5C25-0347-902B-5B5BB731A641}">
    <text>St. John Seward third
 payment</text>
  </threadedComment>
  <threadedComment ref="M41" dT="2020-10-22T20:20:21.41" personId="{F5FCFE7F-6D76-7449-82A4-73C07A97E794}" id="{57B2F74D-874F-DF45-ABEF-B19B53EB59BB}">
    <text>St. John Seward final payment</text>
  </threadedComment>
  <threadedComment ref="B42" dT="2020-10-14T21:32:40.97" personId="{F5FCFE7F-6D76-7449-82A4-73C07A97E794}" id="{9C979B48-F5F7-0749-ADBC-BD221C30B96C}">
    <text>Only membership based on % of SN participants joining as members.</text>
  </threadedComment>
  <threadedComment ref="C53" dT="2020-10-15T19:07:47.11" personId="{F5FCFE7F-6D76-7449-82A4-73C07A97E794}" id="{B8FB8D50-73D0-C145-8CFB-60EC414DBC72}">
    <text>Membership Platform</text>
  </threadedComment>
  <threadedComment ref="M53" dT="2020-09-17T20:26:11.79" personId="{F5FCFE7F-6D76-7449-82A4-73C07A97E794}" id="{0EF95685-DB65-9744-9652-B1600D80203F}">
    <text>Virtuous license</text>
  </threadedComment>
  <threadedComment ref="C58" dT="2020-10-22T20:32:42.69" personId="{F5FCFE7F-6D76-7449-82A4-73C07A97E794}" id="{F5D35637-55A1-A444-9602-9C08A4236B59}">
    <text>First payment for Horseshoe Bay - $8500</text>
  </threadedComment>
  <threadedComment ref="E58" dT="2020-10-14T21:40:30.26" personId="{F5FCFE7F-6D76-7449-82A4-73C07A97E794}" id="{EEC97C52-9C6C-2145-9798-9E97A682C382}">
    <text>Second payment to Horseshoe Bay - $8500</text>
  </threadedComment>
  <threadedComment ref="H58" dT="2020-10-14T21:40:59.00" personId="{F5FCFE7F-6D76-7449-82A4-73C07A97E794}" id="{636DFF28-4C8D-E241-963C-205BA8457C5C}">
    <text>Third payment to Horseshoe Bay - $8500</text>
  </threadedComment>
  <threadedComment ref="I58" dT="2020-10-22T20:34:34.93" personId="{F5FCFE7F-6D76-7449-82A4-73C07A97E794}" id="{A577802B-73FA-1F47-82F2-797433658004}">
    <text>Fourth
 payment to Horseshoe Bay - $8500</text>
  </threadedComment>
  <threadedComment ref="J58" dT="2020-10-22T20:38:43.00" personId="{F5FCFE7F-6D76-7449-82A4-73C07A97E794}" id="{0BDD51F5-377D-AD4C-8C84-4CFF3BB3F80F}">
    <text>Includes $15k for golf outing materials, such as gift bags, etc.</text>
  </threadedComment>
  <threadedComment ref="K58" dT="2020-10-22T20:36:15.59" personId="{F5FCFE7F-6D76-7449-82A4-73C07A97E794}" id="{32E1D789-79F0-E04F-95AD-5316684864BE}">
    <text>Final payment to Horseshoe Bay (Estimated $3
5,000)</text>
  </threadedComment>
  <threadedComment ref="L58" dT="2019-09-11T20:28:57.84" personId="{DE3DA967-B69A-404A-B88F-0DD05677A89E}" id="{85CD6969-BAE7-D748-B023-9F23F7E58511}">
    <text>Digizent monthly + Dallas invitations</text>
  </threadedComment>
  <threadedComment ref="M58" dT="2019-09-11T20:32:00.11" personId="{DE3DA967-B69A-404A-B88F-0DD05677A89E}" id="{E25515A1-5DA2-604E-B557-3E4768A732CD}">
    <text>Digizent end-of-year $3,106 + $1,000 for Dallas event food</text>
  </threadedComment>
  <threadedComment ref="K70" dT="2020-08-11T20:27:46.42" personId="{DE3DA967-B69A-404A-B88F-0DD05677A89E}" id="{910469B0-A335-A64C-A3A2-3C9A0C361E7F}">
    <text>Feathr license</text>
  </threadedComment>
  <threadedComment ref="B71" dT="2020-10-19T22:36:06.73" personId="{F5FCFE7F-6D76-7449-82A4-73C07A97E794}" id="{F7E75FDB-A62C-214C-875E-CC2598E2635A}">
    <text>Unsure on this - Abigail will look into</text>
  </threadedComment>
  <threadedComment ref="L78" dT="2019-09-11T20:51:38.74" personId="{DE3DA967-B69A-404A-B88F-0DD05677A89E}" id="{A85CE770-3F9D-774D-AF11-2278D41BDB8A}">
    <text>Golf donor event travel</text>
  </threadedComment>
  <threadedComment ref="F84" dT="2020-10-22T19:07:24.18" personId="{F5FCFE7F-6D76-7449-82A4-73C07A97E794}" id="{23A0EBB6-4DB2-4140-A7E4-7E3C5212E35A}">
    <text>Includes AV ($4000), Tech Support ($1000) and Medical Staff ($500)</text>
  </threadedComment>
  <threadedComment ref="G88" dT="2020-10-22T19:20:22.54" personId="{F5FCFE7F-6D76-7449-82A4-73C07A97E794}" id="{52A69584-274B-6F46-A77D-46CF03D58C59}">
    <text>FiveTwo Staff (5) travel and hotel</text>
  </threadedComment>
  <threadedComment ref="B99" dT="2020-10-14T21:54:14.26" personId="{F5FCFE7F-6D76-7449-82A4-73C07A97E794}" id="{B2195D14-6414-B048-815B-3E067F9CB120}">
    <text xml:space="preserve">Includes assessments for Advanced team leaders, 25% of Advanced teams purchase 3 assessments </text>
  </threadedComment>
  <threadedComment ref="G99" dT="2020-10-14T21:56:57.69" personId="{F5FCFE7F-6D76-7449-82A4-73C07A97E794}" id="{83D53DE1-4777-194C-ADD4-6D8BE6EBF411}">
    <text>Assessments for next month Accelerator</text>
  </threadedComment>
  <threadedComment ref="B100" dT="2020-10-14T22:05:29.78" personId="{F5FCFE7F-6D76-7449-82A4-73C07A97E794}" id="{25FBC75D-8BDB-8340-8AED-490A6E33CECF}">
    <text xml:space="preserve">Includes all projected coaching - Advanced included session, 20% of Advanced teams purchase additional coaching, and 50% of that 20% are 3 packs. </text>
  </threadedComment>
  <threadedComment ref="I100" dT="2020-10-20T22:53:51.27" personId="{F5FCFE7F-6D76-7449-82A4-73C07A97E794}" id="{A8072C12-C86C-5842-93F1-DBE727008748}">
    <text>Additional $2000 per month for Accelerator teams (10 teams, one coaching per month)</text>
  </threadedComment>
  <threadedComment ref="K100" dT="2020-10-20T22:54:13.97" personId="{F5FCFE7F-6D76-7449-82A4-73C07A97E794}" id="{216480EB-B3C8-5D40-8A7A-7DDBFC4F2B3B}">
    <text xml:space="preserve">Additional $2000 per month for Accelerator teams (10 teams, one coaching per month)
</text>
  </threadedComment>
  <threadedComment ref="F104" dT="2020-10-14T00:19:38.11" personId="{F5FCFE7F-6D76-7449-82A4-73C07A97E794}" id="{EEE826A4-DF90-854F-AA1B-7A9648A9D43B}">
    <text>Learn Dash annual fees</text>
  </threadedComment>
  <threadedComment ref="H108" dT="2020-10-14T00:39:17.79" personId="{F5FCFE7F-6D76-7449-82A4-73C07A97E794}" id="{B9BC88DA-3EC2-5147-8FAE-AFE268F64418}">
    <text>Assumes Bill is one trainer</text>
  </threadedComment>
  <threadedComment ref="B147" dT="2020-01-11T15:55:20.46" personId="{DE3DA967-B69A-404A-B88F-0DD05677A89E}" id="{12711808-F62D-2D45-AF39-EFA331C2DC1E}">
    <text>Anticipated to start year with $519,869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B3B49683-C72C-D94A-81DB-427317A89FC3}">
    <text>Trinity Lisle $5k
Bethany $1250</text>
  </threadedComment>
  <threadedComment ref="G9" dT="2019-03-06T17:07:53.46" personId="{DE3DA967-B69A-404A-B88F-0DD05677A89E}" id="{B320ECA5-09F7-F14B-A5A0-CFD83A93E29D}">
    <text>Trinity Lisle $5k</text>
  </threadedComment>
  <threadedComment ref="G9" dT="2019-07-10T18:36:03.04" personId="{DE3DA967-B69A-404A-B88F-0DD05677A89E}" id="{705C2F88-233F-0149-9E72-3E00D7DFE55D}" parentId="{B320ECA5-09F7-F14B-A5A0-CFD83A93E29D}">
    <text>Also includes Bethany 1250 and Summit 2500</text>
  </threadedComment>
  <threadedComment ref="G9" dT="2020-10-13T18:58:41.24" personId="{F5FCFE7F-6D76-7449-82A4-73C07A97E794}" id="{F04D8175-A286-6049-9AE2-1C3B90FC9A53}" parentId="{B320ECA5-09F7-F14B-A5A0-CFD83A93E29D}">
    <text>Summit 1250</text>
  </threadedComment>
  <threadedComment ref="J9" dT="2019-03-06T17:10:00.29" personId="{DE3DA967-B69A-404A-B88F-0DD05677A89E}" id="{862258CF-1406-F246-B5D7-79EB2F8D994E}">
    <text>Our Savior McKinney $12k
Summit $2,500
Gloria Dei $10,000</text>
  </threadedComment>
  <threadedComment ref="J9" dT="2020-10-13T19:25:31.37" personId="{F5FCFE7F-6D76-7449-82A4-73C07A97E794}" id="{DE19BC15-110C-474B-A4A0-C6F09E408388}" parentId="{862258CF-1406-F246-B5D7-79EB2F8D994E}">
    <text>Summit 1250; OSM - 0</text>
  </threadedComment>
  <threadedComment ref="M9" dT="2020-10-22T19:34:28.69" personId="{F5FCFE7F-6D76-7449-82A4-73C07A97E794}" id="{C4884E96-4E43-D340-A9D3-B9B745D6AA67}">
    <text>Summit 1250 and assumed additional $2500</text>
  </threadedComment>
  <threadedComment ref="B10" dT="2019-03-06T17:24:09.16" personId="{DE3DA967-B69A-404A-B88F-0DD05677A89E}" id="{E9AC9E1A-8FA3-DF4A-BB73-1A5CB82C3318}">
    <text>Donor’s $15k
Normal</text>
  </threadedComment>
  <threadedComment ref="B10" dT="2020-01-11T15:41:13.19" personId="{DE3DA967-B69A-404A-B88F-0DD05677A89E}" id="{C18C07BF-D8D2-4340-99CE-C2C543EF423C}" parentId="{E9AC9E1A-8FA3-DF4A-BB73-1A5CB82C3318}">
    <text>Donor gave this in Dec ‘19</text>
  </threadedComment>
  <threadedComment ref="B10" dT="2020-10-13T19:33:17.87" personId="{F5FCFE7F-6D76-7449-82A4-73C07A97E794}" id="{3CDFE93B-E793-534B-9228-1AEE223B8C8B}" parentId="{E9AC9E1A-8FA3-DF4A-BB73-1A5CB82C3318}">
    <text>Unsure of this.</text>
  </threadedComment>
  <threadedComment ref="F10" dT="2019-12-10T22:06:56.36" personId="{DE3DA967-B69A-404A-B88F-0DD05677A89E}" id="{B8B8F9DE-E511-5847-8595-27288D3FC4B7}">
    <text>Decatur donor - $15k</text>
  </threadedComment>
  <threadedComment ref="H10" dT="2020-05-12T18:15:28.64" personId="{DE3DA967-B69A-404A-B88F-0DD05677A89E}" id="{971EC95B-254B-3C46-AAEA-41EF67FA976E}">
    <text>$5k added for virtual donor Las Vegas</text>
  </threadedComment>
  <threadedComment ref="H10" dT="2020-08-11T20:17:06.27" personId="{DE3DA967-B69A-404A-B88F-0DD05677A89E}" id="{36309271-E7BB-924F-A7A1-77C433F0CF87}" parentId="{971EC95B-254B-3C46-AAEA-41EF67FA976E}">
    <text>Did not happen.</text>
  </threadedComment>
  <threadedComment ref="I10" dT="2020-07-27T19:53:34.28" personId="{DE3DA967-B69A-404A-B88F-0DD05677A89E}" id="{D84E0AB8-FAEA-A743-B635-03D1DC44BAE2}">
    <text>Cook $30k gift for golf event</text>
  </threadedComment>
  <threadedComment ref="K10" dT="2020-10-13T22:46:27.36" personId="{F5FCFE7F-6D76-7449-82A4-73C07A97E794}" id="{BFBED35F-4325-CF4F-9AC4-FA2B27F30DAD}">
    <text>Golf, Give, Grow Getaway</text>
  </threadedComment>
  <threadedComment ref="L10" dT="2020-10-22T19:38:39.51" personId="{F5FCFE7F-6D76-7449-82A4-73C07A97E794}" id="{884F2228-1287-BE47-ABE8-AEC9822A0687}">
    <text>Year end campaign</text>
  </threadedComment>
  <threadedComment ref="A13" dT="2020-10-15T18:37:01.56" personId="{F5FCFE7F-6D76-7449-82A4-73C07A97E794}" id="{68876F3E-FA52-3245-88AB-2DB4F24E9F52}">
    <text xml:space="preserve">Work in Summits starting in Q2.    </text>
  </threadedComment>
  <threadedComment ref="F14" dT="2020-10-22T19:12:39.69" personId="{F5FCFE7F-6D76-7449-82A4-73C07A97E794}" id="{515ED5F9-55EE-664D-A3CA-A884795B07B0}">
    <text xml:space="preserve">$34k revenue from each conference assumes 200 attendees and pricing of $149 (early bird) and $179.  </text>
  </threadedComment>
  <threadedComment ref="B33" dT="2020-10-14T21:31:20.44" personId="{F5FCFE7F-6D76-7449-82A4-73C07A97E794}" id="{45C4F6F5-A690-4A47-9E42-D07E54B5661E}">
    <text>Projected extra coaching sessions purchased by Advanced participants</text>
  </threadedComment>
  <threadedComment ref="B36" dT="2020-10-22T20:58:43.18" personId="{F5FCFE7F-6D76-7449-82A4-73C07A97E794}" id="{52F62ACE-EF58-A44E-B1B1-0D61B9B2C014}">
    <text>Assumes 6 new teams per month in 2 cohorts</text>
  </threadedComment>
  <threadedComment ref="G41" dT="2020-10-22T20:19:55.79" personId="{F5FCFE7F-6D76-7449-82A4-73C07A97E794}" id="{176FCD16-0F3A-9443-BE24-7C64D6CA11AD}">
    <text>St. John Seward second payment</text>
  </threadedComment>
  <threadedComment ref="J41" dT="2020-10-22T20:20:08.54" personId="{F5FCFE7F-6D76-7449-82A4-73C07A97E794}" id="{E5FB8DBB-74DB-CB4A-B92C-AA3B3BC2AE0B}">
    <text>St. John Seward third
 payment</text>
  </threadedComment>
  <threadedComment ref="M41" dT="2020-10-22T20:20:21.41" personId="{F5FCFE7F-6D76-7449-82A4-73C07A97E794}" id="{D3FC3F31-5C56-9744-981E-44E7DF9582B2}">
    <text>St. John Seward final payment</text>
  </threadedComment>
  <threadedComment ref="B42" dT="2020-10-14T21:32:40.97" personId="{F5FCFE7F-6D76-7449-82A4-73C07A97E794}" id="{393FC323-3856-3245-BF4E-F0B583173EBC}">
    <text>Only membership based on % of SN participants joining as members.</text>
  </threadedComment>
  <threadedComment ref="C53" dT="2020-10-15T19:07:47.11" personId="{F5FCFE7F-6D76-7449-82A4-73C07A97E794}" id="{B064E228-A212-AA4E-AF7B-CA422327A74D}">
    <text>Membership Platform</text>
  </threadedComment>
  <threadedComment ref="M53" dT="2020-09-17T20:26:11.79" personId="{F5FCFE7F-6D76-7449-82A4-73C07A97E794}" id="{20B60264-4290-A144-BB66-7210ABD38CE9}">
    <text>Virtuous license</text>
  </threadedComment>
  <threadedComment ref="C58" dT="2020-10-22T20:32:42.69" personId="{F5FCFE7F-6D76-7449-82A4-73C07A97E794}" id="{B7537B00-AA55-3A4D-AD51-40F6E6426CD1}">
    <text>First payment for Horseshoe Bay - $8500</text>
  </threadedComment>
  <threadedComment ref="E58" dT="2020-10-14T21:40:30.26" personId="{F5FCFE7F-6D76-7449-82A4-73C07A97E794}" id="{81F8A3CF-48ED-914E-ADA9-2D46C288E4DB}">
    <text>Second payment to Horseshoe Bay - $8500</text>
  </threadedComment>
  <threadedComment ref="H58" dT="2020-10-14T21:40:59.00" personId="{F5FCFE7F-6D76-7449-82A4-73C07A97E794}" id="{D33A36D6-F971-D243-9B8D-1969B53BF741}">
    <text>Third payment to Horseshoe Bay - $8500</text>
  </threadedComment>
  <threadedComment ref="I58" dT="2020-10-22T20:34:34.93" personId="{F5FCFE7F-6D76-7449-82A4-73C07A97E794}" id="{3F3B28F4-DBCC-604D-9005-28BA7D5BF239}">
    <text>Fourth
 payment to Horseshoe Bay - $8500</text>
  </threadedComment>
  <threadedComment ref="J58" dT="2020-10-22T20:38:43.00" personId="{F5FCFE7F-6D76-7449-82A4-73C07A97E794}" id="{B40CC6D4-8347-EA4D-A856-E9A9F8139982}">
    <text>Includes $15k for golf outing materials, such as gift bags, etc.</text>
  </threadedComment>
  <threadedComment ref="K58" dT="2020-10-22T20:36:15.59" personId="{F5FCFE7F-6D76-7449-82A4-73C07A97E794}" id="{50878536-4CFE-864B-9C90-FA71B37B2404}">
    <text>Final payment to Horseshoe Bay (Estimated $3
5,000)</text>
  </threadedComment>
  <threadedComment ref="L58" dT="2019-09-11T20:28:57.84" personId="{DE3DA967-B69A-404A-B88F-0DD05677A89E}" id="{4B2F5E9E-5531-B341-A372-6ED3A8DD1D34}">
    <text>Digizent monthly + Dallas invitations</text>
  </threadedComment>
  <threadedComment ref="M58" dT="2019-09-11T20:32:00.11" personId="{DE3DA967-B69A-404A-B88F-0DD05677A89E}" id="{D5D6BB4E-26D9-F342-BA1E-650292040827}">
    <text>Digizent end-of-year $3,106 + $1,000 for Dallas event food</text>
  </threadedComment>
  <threadedComment ref="K68" dT="2020-08-11T20:27:46.42" personId="{DE3DA967-B69A-404A-B88F-0DD05677A89E}" id="{A520408F-E621-5348-85E4-854E5F7E6E33}">
    <text>Feathr license</text>
  </threadedComment>
  <threadedComment ref="L73" dT="2019-09-11T20:51:38.74" personId="{DE3DA967-B69A-404A-B88F-0DD05677A89E}" id="{824B017D-14CB-2649-95DC-B1D925447EE6}">
    <text>Golf donor event travel</text>
  </threadedComment>
  <threadedComment ref="F78" dT="2020-10-22T19:07:24.18" personId="{F5FCFE7F-6D76-7449-82A4-73C07A97E794}" id="{0E9B3EFA-9FA3-5347-86C1-539ECE597D16}">
    <text>Includes AV ($4000), Tech Support ($1000) and Medical Staff ($500)</text>
  </threadedComment>
  <threadedComment ref="G82" dT="2020-10-22T19:20:22.54" personId="{F5FCFE7F-6D76-7449-82A4-73C07A97E794}" id="{D10193A0-7F98-AC4E-ABF5-9D0859053BD7}">
    <text>FiveTwo Staff (5) travel and hotel</text>
  </threadedComment>
  <threadedComment ref="B93" dT="2020-10-14T21:54:14.26" personId="{F5FCFE7F-6D76-7449-82A4-73C07A97E794}" id="{85B7ED2C-E700-BA4C-95AB-E3D333D88BE6}">
    <text xml:space="preserve">Includes assessments for Advanced team leaders, 25% of Advanced teams purchase 3 assessments </text>
  </threadedComment>
  <threadedComment ref="G93" dT="2020-10-14T21:56:57.69" personId="{F5FCFE7F-6D76-7449-82A4-73C07A97E794}" id="{5E0D7590-AF8F-4249-A61E-A2595CC53AAD}">
    <text>Assessments for next month Accelerator</text>
  </threadedComment>
  <threadedComment ref="B94" dT="2020-10-14T22:05:29.78" personId="{F5FCFE7F-6D76-7449-82A4-73C07A97E794}" id="{AB77B28C-8E98-FE47-B06F-DDE18CFFE4C5}">
    <text xml:space="preserve">Includes all projected coaching - Advanced included session, 20% of Advanced teams purchase additional coaching, and 50% of that 20% are 3 packs. </text>
  </threadedComment>
  <threadedComment ref="K94" dT="2020-10-20T23:01:40.35" personId="{F5FCFE7F-6D76-7449-82A4-73C07A97E794}" id="{7C228721-145B-7543-AA36-6EE501945D39}">
    <text xml:space="preserve">Additional $2000 per month for Accelerator teams (10 teams, one coaching per month)
</text>
  </threadedComment>
  <threadedComment ref="F97" dT="2020-10-14T00:19:38.11" personId="{F5FCFE7F-6D76-7449-82A4-73C07A97E794}" id="{743BB231-70EB-A44B-B3F7-4CA79DFDD41D}">
    <text>Learn Dash annual fees</text>
  </threadedComment>
  <threadedComment ref="K99" dT="2020-10-20T23:03:01.18" personId="{F5FCFE7F-6D76-7449-82A4-73C07A97E794}" id="{FED19CAC-4A97-044D-B60B-2BF426F5F08B}">
    <text>Assumes Bill is one trainer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78A0C0A7-A027-7748-BE65-2CF86959F380}">
    <text>Trinity Lisle $5k
Bethany $1250</text>
  </threadedComment>
  <threadedComment ref="C9" dT="2021-01-12T16:38:42.19" personId="{DE3DA967-B69A-404A-B88F-0DD05677A89E}" id="{D54E7158-B278-4D47-B5B3-02A15C1ADBD7}">
    <text>$5k Trinity + $1250 Bethany</text>
  </threadedComment>
  <threadedComment ref="G9" dT="2019-03-06T17:07:53.46" personId="{DE3DA967-B69A-404A-B88F-0DD05677A89E}" id="{38EF495D-5373-244E-A726-D7737FEF46A8}">
    <text>Trinity Lisle $5k</text>
  </threadedComment>
  <threadedComment ref="G9" dT="2019-07-10T18:36:03.04" personId="{DE3DA967-B69A-404A-B88F-0DD05677A89E}" id="{1D83C9D3-F873-D544-B4F4-CC0660DE42F6}" parentId="{38EF495D-5373-244E-A726-D7737FEF46A8}">
    <text>Also includes Bethany 1250 and Summit 2500</text>
  </threadedComment>
  <threadedComment ref="G9" dT="2020-10-13T18:58:41.24" personId="{F5FCFE7F-6D76-7449-82A4-73C07A97E794}" id="{46DDA82B-ED50-6642-9B94-F855E413ED50}" parentId="{38EF495D-5373-244E-A726-D7737FEF46A8}">
    <text>Summit 1250</text>
  </threadedComment>
  <threadedComment ref="J9" dT="2019-03-06T17:10:00.29" personId="{DE3DA967-B69A-404A-B88F-0DD05677A89E}" id="{0F40E60C-4B70-ED42-BA3E-9B4A89CBE32A}">
    <text>Our Savior McKinney $12k
Summit $2,500
Gloria Dei $10,000</text>
  </threadedComment>
  <threadedComment ref="J9" dT="2020-10-13T19:25:31.37" personId="{F5FCFE7F-6D76-7449-82A4-73C07A97E794}" id="{43351E79-25D9-AF4E-9A08-B9C52AF517C3}" parentId="{0F40E60C-4B70-ED42-BA3E-9B4A89CBE32A}">
    <text>Summit 1250; OSM - 0</text>
  </threadedComment>
  <threadedComment ref="M9" dT="2020-10-22T19:34:28.69" personId="{F5FCFE7F-6D76-7449-82A4-73C07A97E794}" id="{C7CE9061-8737-B945-BCB3-1C5941AFF73E}">
    <text>Summit 1250 and assumed additional $2500</text>
  </threadedComment>
  <threadedComment ref="B10" dT="2021-01-11T20:43:14.39" personId="{DE3DA967-B69A-404A-B88F-0DD05677A89E}" id="{4F532F30-D738-3442-BF24-5BAD3D077D61}">
    <text>Includes $15k gift</text>
  </threadedComment>
  <threadedComment ref="D10" dT="2020-12-22T18:56:21.78" personId="{DE3DA967-B69A-404A-B88F-0DD05677A89E}" id="{FFDEA591-A9F4-D047-8D90-216EADF9B081}">
    <text>$10k Gloria Dei event</text>
  </threadedComment>
  <threadedComment ref="H10" dT="2020-05-12T18:15:28.64" personId="{DE3DA967-B69A-404A-B88F-0DD05677A89E}" id="{1C468F62-73D6-334E-ACBD-1A1E4B5EA5C3}">
    <text>$5k added for virtual donor Las Vegas</text>
  </threadedComment>
  <threadedComment ref="H10" dT="2020-08-11T20:17:06.27" personId="{DE3DA967-B69A-404A-B88F-0DD05677A89E}" id="{D02CC9B0-7ACF-264C-98A1-891CD4C0CDEA}" parentId="{1C468F62-73D6-334E-ACBD-1A1E4B5EA5C3}">
    <text>Did not happen.</text>
  </threadedComment>
  <threadedComment ref="I10" dT="2020-07-27T19:53:34.28" personId="{DE3DA967-B69A-404A-B88F-0DD05677A89E}" id="{05F28AB7-4600-E94A-8A62-9271B0437A5E}">
    <text>Cook $30k gift for golf event</text>
  </threadedComment>
  <threadedComment ref="K10" dT="2020-10-13T22:46:27.36" personId="{F5FCFE7F-6D76-7449-82A4-73C07A97E794}" id="{721D7176-DE59-F945-B408-A6800AC33491}">
    <text>Golf, Give, Grow Getaway</text>
  </threadedComment>
  <threadedComment ref="L10" dT="2020-10-22T19:38:39.51" personId="{F5FCFE7F-6D76-7449-82A4-73C07A97E794}" id="{107B92E7-BC62-2F4F-8FBE-C813A6568D7D}">
    <text>Year end campaign</text>
  </threadedComment>
  <threadedComment ref="A13" dT="2020-10-15T18:37:01.56" personId="{F5FCFE7F-6D76-7449-82A4-73C07A97E794}" id="{5FC834D3-A34F-CA49-913E-E08AAC12A868}">
    <text xml:space="preserve">Work in Summits starting in Q2.    </text>
  </threadedComment>
  <threadedComment ref="F14" dT="2020-10-22T19:12:39.69" personId="{F5FCFE7F-6D76-7449-82A4-73C07A97E794}" id="{82855C81-F25F-3845-99F9-B8B5EAD71C34}">
    <text xml:space="preserve">$34k revenue from each conference assumes 200 attendees and pricing of $149 (early bird) and $179.  </text>
  </threadedComment>
  <threadedComment ref="B33" dT="2020-10-14T21:31:20.44" personId="{F5FCFE7F-6D76-7449-82A4-73C07A97E794}" id="{940B54D8-7C31-8E42-B454-244F5FAC97C2}">
    <text>Projected extra coaching sessions purchased by Advanced participants</text>
  </threadedComment>
  <threadedComment ref="K37" dT="2020-12-09T22:23:25.05" personId="{DE3DA967-B69A-404A-B88F-0DD05677A89E}" id="{14A880FD-931C-CB46-A11F-A1BFF66037E3}">
    <text xml:space="preserve">$87000
</text>
  </threadedComment>
  <threadedComment ref="G41" dT="2020-10-22T20:19:55.79" personId="{F5FCFE7F-6D76-7449-82A4-73C07A97E794}" id="{04C3A3AB-31AC-E54A-948D-4385335AD8D3}">
    <text>St. John Seward second payment</text>
  </threadedComment>
  <threadedComment ref="J41" dT="2020-10-22T20:20:08.54" personId="{F5FCFE7F-6D76-7449-82A4-73C07A97E794}" id="{D6FA9FEB-AE4F-E248-8788-DC0245FC9153}">
    <text>St. John Seward third
 payment</text>
  </threadedComment>
  <threadedComment ref="M41" dT="2020-10-22T20:20:21.41" personId="{F5FCFE7F-6D76-7449-82A4-73C07A97E794}" id="{F6175193-E7E8-E747-B636-4D9F2C294F81}">
    <text>St. John Seward final payment</text>
  </threadedComment>
  <threadedComment ref="B42" dT="2020-10-14T21:32:40.97" personId="{F5FCFE7F-6D76-7449-82A4-73C07A97E794}" id="{C6BC885B-4688-B941-BBA4-AFB6A9F271FF}">
    <text>Only membership based on % of SN participants joining as members.</text>
  </threadedComment>
  <threadedComment ref="C53" dT="2020-10-15T19:07:47.11" personId="{F5FCFE7F-6D76-7449-82A4-73C07A97E794}" id="{9A8C7F92-856A-D74C-8DB0-F53095CD958D}">
    <text>Membership Platform</text>
  </threadedComment>
  <threadedComment ref="M53" dT="2020-09-17T20:26:11.79" personId="{F5FCFE7F-6D76-7449-82A4-73C07A97E794}" id="{4E22812E-D468-194D-97CC-A203A92BD4DC}">
    <text>Virtuous license</text>
  </threadedComment>
  <threadedComment ref="B58" dT="2020-12-08T16:16:26.12" personId="{DE3DA967-B69A-404A-B88F-0DD05677A89E}" id="{E19E253B-1F97-344D-8E70-8CC368CCBE48}">
    <text>$3k monthly</text>
  </threadedComment>
  <threadedComment ref="D58" dT="2020-10-22T20:32:42.69" personId="{F5FCFE7F-6D76-7449-82A4-73C07A97E794}" id="{0456BF74-8D1A-4F4D-8A4E-55420012F392}">
    <text>First payment for Horseshoe Bay - $8500</text>
  </threadedComment>
  <threadedComment ref="E58" dT="2020-10-14T21:40:30.26" personId="{F5FCFE7F-6D76-7449-82A4-73C07A97E794}" id="{C46DC78F-110C-5943-8DCA-8C43ABC89B6D}">
    <text>Second payment to Horseshoe Bay - $8500</text>
  </threadedComment>
  <threadedComment ref="H58" dT="2020-10-14T21:40:59.00" personId="{F5FCFE7F-6D76-7449-82A4-73C07A97E794}" id="{F54A98D5-DB4B-5543-B0F9-A33071294191}">
    <text>Third payment to Horseshoe Bay - $8500</text>
  </threadedComment>
  <threadedComment ref="I58" dT="2020-10-22T20:34:34.93" personId="{F5FCFE7F-6D76-7449-82A4-73C07A97E794}" id="{536162B4-E2EA-E24E-8643-889DECB23E13}">
    <text>Fourth
 payment to Horseshoe Bay - $8500</text>
  </threadedComment>
  <threadedComment ref="J58" dT="2020-10-22T20:38:43.00" personId="{F5FCFE7F-6D76-7449-82A4-73C07A97E794}" id="{FF14CAA4-1F8E-444C-80AE-7C1F00DB9E18}">
    <text>Includes $15k for golf outing materials, such as gift bags, etc.</text>
  </threadedComment>
  <threadedComment ref="K58" dT="2020-10-22T20:36:15.59" personId="{F5FCFE7F-6D76-7449-82A4-73C07A97E794}" id="{113B1F30-7E4B-5449-93B6-2020D59752C0}">
    <text>Final payment to Horseshoe Bay (Estimated $3
5,000)</text>
  </threadedComment>
  <threadedComment ref="L58" dT="2019-09-11T20:28:57.84" personId="{DE3DA967-B69A-404A-B88F-0DD05677A89E}" id="{A2F4AF52-3347-EE43-BE0A-53AA4DE52631}">
    <text>Digizent monthly + Dallas invitations</text>
  </threadedComment>
  <threadedComment ref="M58" dT="2019-09-11T20:32:00.11" personId="{DE3DA967-B69A-404A-B88F-0DD05677A89E}" id="{3356D625-6E92-1349-BB4F-D35B26A61430}">
    <text>Digizent end-of-year $3,106 + $1,000 for Dallas event food</text>
  </threadedComment>
  <threadedComment ref="B69" dT="2020-11-30T20:53:54.79" personId="{DE3DA967-B69A-404A-B88F-0DD05677A89E}" id="{9F40CA89-6486-1746-AB7A-BD9F6F3AFFF2}">
    <text>was $5300 Feathr</text>
  </threadedComment>
  <threadedComment ref="K69" dT="2020-08-11T20:27:46.42" personId="{DE3DA967-B69A-404A-B88F-0DD05677A89E}" id="{D597BF1B-1590-814D-A131-D375DAC99437}">
    <text>Feathr license</text>
  </threadedComment>
  <threadedComment ref="L74" dT="2019-09-11T20:51:38.74" personId="{DE3DA967-B69A-404A-B88F-0DD05677A89E}" id="{C114A11D-596E-234E-94E2-8F849283B1AA}">
    <text>Golf donor event travel</text>
  </threadedComment>
  <threadedComment ref="B75" dT="2020-12-08T16:17:31.20" personId="{DE3DA967-B69A-404A-B88F-0DD05677A89E}" id="{8DAF4D6C-B6F0-BA42-989A-71CEC26F6140}">
    <text>$2900</text>
  </threadedComment>
  <threadedComment ref="C75" dT="2020-12-08T16:17:47.26" personId="{DE3DA967-B69A-404A-B88F-0DD05677A89E}" id="{8A3700FE-CC32-4A4E-8FBE-F086FE93B352}">
    <text>$4k</text>
  </threadedComment>
  <threadedComment ref="D75" dT="2020-12-08T16:18:01.62" personId="{DE3DA967-B69A-404A-B88F-0DD05677A89E}" id="{3D83AF8B-AEEB-964E-ABBA-0CDA593EF18C}">
    <text>$1100</text>
  </threadedComment>
  <threadedComment ref="F79" dT="2020-10-22T19:07:24.18" personId="{F5FCFE7F-6D76-7449-82A4-73C07A97E794}" id="{35160A6F-494C-1943-96E8-AFF3C15CE58A}">
    <text>Includes AV ($4000), Tech Support ($1000) and Medical Staff ($500)</text>
  </threadedComment>
  <threadedComment ref="G83" dT="2020-10-22T19:20:22.54" personId="{F5FCFE7F-6D76-7449-82A4-73C07A97E794}" id="{7CED8ABC-7488-D54D-8C15-6F62F4971DA6}">
    <text>FiveTwo Staff (5) travel and hotel</text>
  </threadedComment>
  <threadedComment ref="B94" dT="2020-10-14T21:54:14.26" personId="{F5FCFE7F-6D76-7449-82A4-73C07A97E794}" id="{D6879557-D6F0-9A4C-A7B0-986056C61864}">
    <text xml:space="preserve">Includes assessments for Advanced team leaders, 25% of Advanced teams purchase 3 assessments </text>
  </threadedComment>
  <threadedComment ref="G94" dT="2020-10-14T21:56:57.69" personId="{F5FCFE7F-6D76-7449-82A4-73C07A97E794}" id="{91B187E7-1E7D-3D4A-B076-DFF797437A65}">
    <text>Assessments for next month Accelerator</text>
  </threadedComment>
  <threadedComment ref="F98" dT="2020-10-14T00:19:38.11" personId="{F5FCFE7F-6D76-7449-82A4-73C07A97E794}" id="{04A04BC3-6036-6D40-BCD8-68F40A447AFA}">
    <text>Learn Dash annual fees</text>
  </threadedComment>
  <threadedComment ref="K100" dT="2020-10-20T23:03:01.18" personId="{F5FCFE7F-6D76-7449-82A4-73C07A97E794}" id="{85D1885D-0C0E-4048-82F8-6C4C0E9AABE1}">
    <text>Assumes Bill is one trainer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2DBDF3B5-D61A-3F4C-82C0-D932818B0A20}">
    <text>Trinity Lisle $5k
Bethany $1250</text>
  </threadedComment>
  <threadedComment ref="G9" dT="2019-03-06T17:07:53.46" personId="{DE3DA967-B69A-404A-B88F-0DD05677A89E}" id="{CEDB2FFE-274E-A347-988D-C3442EC1BF6F}">
    <text>Trinity Lisle $5k</text>
  </threadedComment>
  <threadedComment ref="G9" dT="2019-07-10T18:36:03.04" personId="{DE3DA967-B69A-404A-B88F-0DD05677A89E}" id="{F0ABF831-97BD-064A-8057-74FA37B871C4}" parentId="{CEDB2FFE-274E-A347-988D-C3442EC1BF6F}">
    <text>Also includes Bethany 1250 and Summit 2500</text>
  </threadedComment>
  <threadedComment ref="G9" dT="2020-10-13T18:58:41.24" personId="{F5FCFE7F-6D76-7449-82A4-73C07A97E794}" id="{CF2C48A1-BD82-B640-928C-C92932462682}" parentId="{CEDB2FFE-274E-A347-988D-C3442EC1BF6F}">
    <text>Summit 1250</text>
  </threadedComment>
  <threadedComment ref="J9" dT="2019-03-06T17:10:00.29" personId="{DE3DA967-B69A-404A-B88F-0DD05677A89E}" id="{22CD1C51-249B-0F4C-AC0B-E4CA323C1A44}">
    <text>Our Savior McKinney $12k
Summit $2,500
Gloria Dei $10,000</text>
  </threadedComment>
  <threadedComment ref="J9" dT="2020-10-13T19:25:31.37" personId="{F5FCFE7F-6D76-7449-82A4-73C07A97E794}" id="{CC44DE76-BE07-2F44-AE0A-C8C6A1126C41}" parentId="{22CD1C51-249B-0F4C-AC0B-E4CA323C1A44}">
    <text>Summit 1250; OSM - 0</text>
  </threadedComment>
  <threadedComment ref="M9" dT="2020-10-22T19:34:28.69" personId="{F5FCFE7F-6D76-7449-82A4-73C07A97E794}" id="{A7527F23-6E67-5D4E-A0C6-8BBC26B9BF41}">
    <text>Summit 1250 and assumed additional $2500</text>
  </threadedComment>
  <threadedComment ref="B10" dT="2019-03-06T17:24:09.16" personId="{DE3DA967-B69A-404A-B88F-0DD05677A89E}" id="{CC7C4381-E026-CB48-BC5D-2E5C273798F8}">
    <text>Donor’s $15k
Normal</text>
  </threadedComment>
  <threadedComment ref="B10" dT="2020-01-11T15:41:13.19" personId="{DE3DA967-B69A-404A-B88F-0DD05677A89E}" id="{94C70167-CE56-6D4D-9F57-BBA4F7B5CEE7}" parentId="{CC7C4381-E026-CB48-BC5D-2E5C273798F8}">
    <text>Donor gave this in Dec ‘19</text>
  </threadedComment>
  <threadedComment ref="B10" dT="2020-10-13T19:33:17.87" personId="{F5FCFE7F-6D76-7449-82A4-73C07A97E794}" id="{538BFADA-7026-D649-B2EC-6F3FB9168CAC}" parentId="{CC7C4381-E026-CB48-BC5D-2E5C273798F8}">
    <text>Unsure of this.</text>
  </threadedComment>
  <threadedComment ref="F10" dT="2019-12-10T22:06:56.36" personId="{DE3DA967-B69A-404A-B88F-0DD05677A89E}" id="{255BF4FB-B595-4E4D-B14E-73233735E9CD}">
    <text>Decatur donor - $15k</text>
  </threadedComment>
  <threadedComment ref="H10" dT="2020-05-12T18:15:28.64" personId="{DE3DA967-B69A-404A-B88F-0DD05677A89E}" id="{A6572FEB-AB2F-3245-8834-C7EEDE7DB97F}">
    <text>$5k added for virtual donor Las Vegas</text>
  </threadedComment>
  <threadedComment ref="H10" dT="2020-08-11T20:17:06.27" personId="{DE3DA967-B69A-404A-B88F-0DD05677A89E}" id="{3C9A4007-A6AC-6241-98B5-DDE9DFD40192}" parentId="{A6572FEB-AB2F-3245-8834-C7EEDE7DB97F}">
    <text>Did not happen.</text>
  </threadedComment>
  <threadedComment ref="I10" dT="2020-07-27T19:53:34.28" personId="{DE3DA967-B69A-404A-B88F-0DD05677A89E}" id="{16197834-F178-E144-AF8B-438881245C96}">
    <text>Cook $30k gift for golf event</text>
  </threadedComment>
  <threadedComment ref="K10" dT="2020-10-13T22:46:27.36" personId="{F5FCFE7F-6D76-7449-82A4-73C07A97E794}" id="{26F10B81-5B01-284D-B1F1-2828E5187A50}">
    <text>Golf, Give, Grow Getaway</text>
  </threadedComment>
  <threadedComment ref="L10" dT="2020-10-22T19:38:39.51" personId="{F5FCFE7F-6D76-7449-82A4-73C07A97E794}" id="{FEFBD379-4FA7-1040-A3EF-153CA20D53D7}">
    <text>Year end campaign</text>
  </threadedComment>
  <threadedComment ref="A13" dT="2020-10-15T18:37:01.56" personId="{F5FCFE7F-6D76-7449-82A4-73C07A97E794}" id="{507D5C48-22E1-1D4B-ABC9-E455C4AEE78A}">
    <text xml:space="preserve">Work in Summits starting in Q2.    </text>
  </threadedComment>
  <threadedComment ref="F14" dT="2020-10-22T19:12:39.69" personId="{F5FCFE7F-6D76-7449-82A4-73C07A97E794}" id="{0D2D7223-1207-CE47-8170-990FB6206FBC}">
    <text xml:space="preserve">$34k revenue from each conference assumes 200 attendees and pricing of $149 (early bird) and $179.  </text>
  </threadedComment>
  <threadedComment ref="B33" dT="2020-10-14T21:31:20.44" personId="{F5FCFE7F-6D76-7449-82A4-73C07A97E794}" id="{0DEE6808-BC6E-5E4F-8858-35CD5A6F3437}">
    <text>Projected extra coaching sessions purchased by Advanced participants</text>
  </threadedComment>
  <threadedComment ref="B36" dT="2020-10-22T20:59:48.28" personId="{F5FCFE7F-6D76-7449-82A4-73C07A97E794}" id="{E0547DE8-F3C8-0741-9206-EDEDBF539FF7}">
    <text>Assumes 3 new teams per month and only 1 cohort</text>
  </threadedComment>
  <threadedComment ref="K37" dT="2020-12-09T22:23:25.05" personId="{DE3DA967-B69A-404A-B88F-0DD05677A89E}" id="{B3AD8683-4D66-6E44-A1EF-2DF828605F31}">
    <text xml:space="preserve">$87000
</text>
  </threadedComment>
  <threadedComment ref="G41" dT="2020-10-22T20:19:55.79" personId="{F5FCFE7F-6D76-7449-82A4-73C07A97E794}" id="{A0051206-CF0F-C347-9DAA-6A8F74FB2376}">
    <text>St. John Seward second payment</text>
  </threadedComment>
  <threadedComment ref="J41" dT="2020-10-22T20:20:08.54" personId="{F5FCFE7F-6D76-7449-82A4-73C07A97E794}" id="{3DC51A80-A633-DD43-8C5A-E008ADEC6255}">
    <text>St. John Seward third
 payment</text>
  </threadedComment>
  <threadedComment ref="M41" dT="2020-10-22T20:20:21.41" personId="{F5FCFE7F-6D76-7449-82A4-73C07A97E794}" id="{38DEBE40-2727-164A-AFFF-9476E4612F73}">
    <text>St. John Seward final payment</text>
  </threadedComment>
  <threadedComment ref="B42" dT="2020-10-14T21:32:40.97" personId="{F5FCFE7F-6D76-7449-82A4-73C07A97E794}" id="{B39D1108-95BC-4C47-8BE6-3A810E88C87D}">
    <text>Only membership based on % of SN participants joining as members.</text>
  </threadedComment>
  <threadedComment ref="C53" dT="2020-10-15T19:07:47.11" personId="{F5FCFE7F-6D76-7449-82A4-73C07A97E794}" id="{60900859-5644-6F4D-AA91-11D8B1070A0F}">
    <text>Membership Platform</text>
  </threadedComment>
  <threadedComment ref="M53" dT="2020-09-17T20:26:11.79" personId="{F5FCFE7F-6D76-7449-82A4-73C07A97E794}" id="{600E68D9-FED6-6C43-B431-71A5A1C135C5}">
    <text>Virtuous license</text>
  </threadedComment>
  <threadedComment ref="B58" dT="2020-12-08T16:16:26.12" personId="{DE3DA967-B69A-404A-B88F-0DD05677A89E}" id="{ED2AA3AF-88AD-B349-9B3E-4C379091BDA9}">
    <text>$3k monthly</text>
  </threadedComment>
  <threadedComment ref="C58" dT="2020-10-22T20:32:42.69" personId="{F5FCFE7F-6D76-7449-82A4-73C07A97E794}" id="{D3AC113F-5E04-DA4C-AC04-0EDDED8B908E}">
    <text>First payment for Horseshoe Bay - $8500</text>
  </threadedComment>
  <threadedComment ref="E58" dT="2020-10-14T21:40:30.26" personId="{F5FCFE7F-6D76-7449-82A4-73C07A97E794}" id="{73DABB55-E979-F344-ABB9-A0B9514F487F}">
    <text>Second payment to Horseshoe Bay - $8500</text>
  </threadedComment>
  <threadedComment ref="H58" dT="2020-10-14T21:40:59.00" personId="{F5FCFE7F-6D76-7449-82A4-73C07A97E794}" id="{2E6EA1F2-6A72-D14B-AF55-9544D0EE7DFD}">
    <text>Third payment to Horseshoe Bay - $8500</text>
  </threadedComment>
  <threadedComment ref="I58" dT="2020-10-22T20:34:34.93" personId="{F5FCFE7F-6D76-7449-82A4-73C07A97E794}" id="{1CA072AD-9796-B84C-9E62-CBA5AB622A1C}">
    <text>Fourth
 payment to Horseshoe Bay - $8500</text>
  </threadedComment>
  <threadedComment ref="J58" dT="2020-10-22T20:38:43.00" personId="{F5FCFE7F-6D76-7449-82A4-73C07A97E794}" id="{4C9C66B8-71BA-2040-97AA-0CAF06D55A7B}">
    <text>Includes $15k for golf outing materials, such as gift bags, etc.</text>
  </threadedComment>
  <threadedComment ref="K58" dT="2020-10-22T20:36:15.59" personId="{F5FCFE7F-6D76-7449-82A4-73C07A97E794}" id="{DBDF2A1A-AB48-3A4D-970A-576083DCCF2B}">
    <text>Final payment to Horseshoe Bay (Estimated $3
5,000)</text>
  </threadedComment>
  <threadedComment ref="L58" dT="2019-09-11T20:28:57.84" personId="{DE3DA967-B69A-404A-B88F-0DD05677A89E}" id="{17398811-6A11-584D-8AC6-67F71F183CC6}">
    <text>Digizent monthly + Dallas invitations</text>
  </threadedComment>
  <threadedComment ref="M58" dT="2019-09-11T20:32:00.11" personId="{DE3DA967-B69A-404A-B88F-0DD05677A89E}" id="{297F0108-59D4-8B4E-AF47-B67B6F8AFD86}">
    <text>Digizent end-of-year $3,106 + $1,000 for Dallas event food</text>
  </threadedComment>
  <threadedComment ref="B69" dT="2020-11-30T20:53:54.79" personId="{DE3DA967-B69A-404A-B88F-0DD05677A89E}" id="{BBC75E0E-F912-3B49-B8F0-60DEF2393E51}">
    <text>was $5300 Feathr</text>
  </threadedComment>
  <threadedComment ref="K69" dT="2020-08-11T20:27:46.42" personId="{DE3DA967-B69A-404A-B88F-0DD05677A89E}" id="{9EEF2827-A017-824D-9542-882D26B6AC62}">
    <text>Feathr license</text>
  </threadedComment>
  <threadedComment ref="L74" dT="2019-09-11T20:51:38.74" personId="{DE3DA967-B69A-404A-B88F-0DD05677A89E}" id="{516B448D-84FC-E84D-B817-B2E2AFB87E23}">
    <text>Golf donor event travel</text>
  </threadedComment>
  <threadedComment ref="B75" dT="2020-12-08T16:17:31.20" personId="{DE3DA967-B69A-404A-B88F-0DD05677A89E}" id="{D49DEF35-58CF-4B48-B133-6D9F8FD8AAE9}">
    <text>$2900</text>
  </threadedComment>
  <threadedComment ref="C75" dT="2020-12-08T16:17:47.26" personId="{DE3DA967-B69A-404A-B88F-0DD05677A89E}" id="{1210D713-AE23-7345-9E17-BB242EE8CD1F}">
    <text>$4k</text>
  </threadedComment>
  <threadedComment ref="D75" dT="2020-12-08T16:18:01.62" personId="{DE3DA967-B69A-404A-B88F-0DD05677A89E}" id="{DC96A1FE-0DEB-E141-8186-035630681DE1}">
    <text>$1100</text>
  </threadedComment>
  <threadedComment ref="F79" dT="2020-10-22T19:07:24.18" personId="{F5FCFE7F-6D76-7449-82A4-73C07A97E794}" id="{1D320B01-B3EE-A244-90D4-25AF4C3AEC25}">
    <text>Includes AV ($4000), Tech Support ($1000) and Medical Staff ($500)</text>
  </threadedComment>
  <threadedComment ref="G83" dT="2020-10-22T19:20:22.54" personId="{F5FCFE7F-6D76-7449-82A4-73C07A97E794}" id="{79EB1245-0CCE-4B49-B8C1-FB4BF01178E4}">
    <text>FiveTwo Staff (5) travel and hotel</text>
  </threadedComment>
  <threadedComment ref="B94" dT="2020-10-14T21:54:14.26" personId="{F5FCFE7F-6D76-7449-82A4-73C07A97E794}" id="{95FB9A07-1754-8F4B-A970-0BC3C1ADB52D}">
    <text xml:space="preserve">Includes assessments for Advanced team leaders, 25% of Advanced teams purchase 3 assessments </text>
  </threadedComment>
  <threadedComment ref="G94" dT="2020-10-14T21:56:57.69" personId="{F5FCFE7F-6D76-7449-82A4-73C07A97E794}" id="{8B489B20-6310-A041-9060-8B9CBEE2141C}">
    <text>Assessments for next month Accelerator</text>
  </threadedComment>
  <threadedComment ref="B95" dT="2020-10-14T22:05:29.78" personId="{F5FCFE7F-6D76-7449-82A4-73C07A97E794}" id="{17BDF6C1-EE82-1144-8966-1E26CB0EECB2}">
    <text xml:space="preserve">Includes all projected coaching - Advanced included session, 20% of Advanced teams purchase additional coaching, and 50% of that 20% are 3 packs. </text>
  </threadedComment>
  <threadedComment ref="K95" dT="2020-10-20T23:01:40.35" personId="{F5FCFE7F-6D76-7449-82A4-73C07A97E794}" id="{75081926-6BEA-AA40-84BC-BB23BA7F2C6D}">
    <text xml:space="preserve">Additional $2000 per month for Accelerator teams (10 teams, one coaching per month)
</text>
  </threadedComment>
  <threadedComment ref="F98" dT="2020-10-14T00:19:38.11" personId="{F5FCFE7F-6D76-7449-82A4-73C07A97E794}" id="{6FD9635B-2138-D147-BC90-E1D0CFDA0AB2}">
    <text>Learn Dash annual fees</text>
  </threadedComment>
  <threadedComment ref="K100" dT="2020-10-20T23:03:01.18" personId="{F5FCFE7F-6D76-7449-82A4-73C07A97E794}" id="{614592B3-4203-D24E-A9B3-43B58CD2782E}">
    <text>Assumes Bill is one trainer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C20156BA-1198-B64E-901A-E2F20875F16D}">
    <text>Trinity Lisle $5k
Bethany $1250</text>
  </threadedComment>
  <threadedComment ref="G9" dT="2019-03-06T17:07:53.46" personId="{DE3DA967-B69A-404A-B88F-0DD05677A89E}" id="{001E5E5E-144C-2745-8133-06B5EE7A504F}">
    <text>Trinity Lisle $5k</text>
  </threadedComment>
  <threadedComment ref="G9" dT="2019-07-10T18:36:03.04" personId="{DE3DA967-B69A-404A-B88F-0DD05677A89E}" id="{9BCB66BC-7E71-E343-8AB3-510DD0BA6D87}" parentId="{001E5E5E-144C-2745-8133-06B5EE7A504F}">
    <text>Also includes Bethany 1250 and Summit 2500</text>
  </threadedComment>
  <threadedComment ref="G9" dT="2020-10-13T18:58:41.24" personId="{F5FCFE7F-6D76-7449-82A4-73C07A97E794}" id="{DF5ED7CC-F113-A34D-AFB2-5314B464AD08}" parentId="{001E5E5E-144C-2745-8133-06B5EE7A504F}">
    <text>Summit 1250</text>
  </threadedComment>
  <threadedComment ref="J9" dT="2019-03-06T17:10:00.29" personId="{DE3DA967-B69A-404A-B88F-0DD05677A89E}" id="{D85688F2-712A-EB46-93BC-80258B95691F}">
    <text>Our Savior McKinney $12k
Summit $2,500
Gloria Dei $10,000</text>
  </threadedComment>
  <threadedComment ref="J9" dT="2020-10-13T19:25:31.37" personId="{F5FCFE7F-6D76-7449-82A4-73C07A97E794}" id="{9E2F1745-B9F1-E745-81C6-4D2A6035AB99}" parentId="{D85688F2-712A-EB46-93BC-80258B95691F}">
    <text>Summit 1250; OSM - 0</text>
  </threadedComment>
  <threadedComment ref="M9" dT="2020-10-22T19:34:28.69" personId="{F5FCFE7F-6D76-7449-82A4-73C07A97E794}" id="{5DEEE55F-CC9A-264F-AEA8-1963F4C95FC1}">
    <text>Summit 1250 and assumed additional $2500</text>
  </threadedComment>
  <threadedComment ref="B10" dT="2021-01-11T20:43:14.39" personId="{DE3DA967-B69A-404A-B88F-0DD05677A89E}" id="{23B38E18-CDB5-5147-AB51-460FB8AC15E3}">
    <text>Includes $15k gift</text>
  </threadedComment>
  <threadedComment ref="D10" dT="2020-12-22T18:56:21.78" personId="{DE3DA967-B69A-404A-B88F-0DD05677A89E}" id="{5EBEB47F-E5A1-404C-B3D4-FD98FF9DEBA3}">
    <text>$10k Gloria Dei event</text>
  </threadedComment>
  <threadedComment ref="H10" dT="2020-05-12T18:15:28.64" personId="{DE3DA967-B69A-404A-B88F-0DD05677A89E}" id="{EB055848-C554-B144-8B57-84B8329BF674}">
    <text>$5k added for virtual donor Las Vegas</text>
  </threadedComment>
  <threadedComment ref="H10" dT="2020-08-11T20:17:06.27" personId="{DE3DA967-B69A-404A-B88F-0DD05677A89E}" id="{61FB6747-647D-D24A-BD1D-0C2AF64BB273}" parentId="{EB055848-C554-B144-8B57-84B8329BF674}">
    <text>Did not happen.</text>
  </threadedComment>
  <threadedComment ref="I10" dT="2020-07-27T19:53:34.28" personId="{DE3DA967-B69A-404A-B88F-0DD05677A89E}" id="{8A6EB498-ED7F-C940-9FD2-1EE6ACE4E02A}">
    <text>Cook $30k gift for golf event</text>
  </threadedComment>
  <threadedComment ref="K10" dT="2020-10-13T22:46:27.36" personId="{F5FCFE7F-6D76-7449-82A4-73C07A97E794}" id="{269513D5-C59B-8744-B16A-7ADF34D4F6EA}">
    <text>Golf, Give, Grow Getaway</text>
  </threadedComment>
  <threadedComment ref="L10" dT="2020-10-22T19:38:39.51" personId="{F5FCFE7F-6D76-7449-82A4-73C07A97E794}" id="{6AAA3BC1-A799-5C4F-86CD-B1B1FB8A8762}">
    <text>Year end campaign</text>
  </threadedComment>
  <threadedComment ref="A13" dT="2020-10-15T18:37:01.56" personId="{F5FCFE7F-6D76-7449-82A4-73C07A97E794}" id="{40D0E13A-49F4-FC4C-8233-7447300D315F}">
    <text xml:space="preserve">Work in Summits starting in Q2.    </text>
  </threadedComment>
  <threadedComment ref="F14" dT="2020-10-22T19:12:39.69" personId="{F5FCFE7F-6D76-7449-82A4-73C07A97E794}" id="{5ACE794F-7B9F-2B4D-97D5-19877FF990A7}">
    <text xml:space="preserve">$34k revenue from each conference assumes 200 attendees and pricing of $149 (early bird) and $179.  </text>
  </threadedComment>
  <threadedComment ref="B33" dT="2020-10-14T21:31:20.44" personId="{F5FCFE7F-6D76-7449-82A4-73C07A97E794}" id="{76B7F78D-3C59-6A4E-BD36-B2D19BF30F95}">
    <text>Projected extra coaching sessions purchased by Advanced participants</text>
  </threadedComment>
  <threadedComment ref="K37" dT="2020-12-09T22:23:25.05" personId="{DE3DA967-B69A-404A-B88F-0DD05677A89E}" id="{9A60DB8D-2CBB-5944-AE19-C9015C3F3279}">
    <text xml:space="preserve">$87000
</text>
  </threadedComment>
  <threadedComment ref="G41" dT="2020-10-22T20:19:55.79" personId="{F5FCFE7F-6D76-7449-82A4-73C07A97E794}" id="{E345D9AF-2A20-5642-BBAD-9CFB22E57827}">
    <text>St. John Seward second payment</text>
  </threadedComment>
  <threadedComment ref="J41" dT="2020-10-22T20:20:08.54" personId="{F5FCFE7F-6D76-7449-82A4-73C07A97E794}" id="{2A6BE8A7-7B77-EB4A-9373-A72F220E3ED7}">
    <text>St. John Seward third
 payment</text>
  </threadedComment>
  <threadedComment ref="M41" dT="2020-10-22T20:20:21.41" personId="{F5FCFE7F-6D76-7449-82A4-73C07A97E794}" id="{F2BA7E52-577A-C942-9CE4-52CE7369721D}">
    <text>St. John Seward final payment</text>
  </threadedComment>
  <threadedComment ref="B42" dT="2020-10-14T21:32:40.97" personId="{F5FCFE7F-6D76-7449-82A4-73C07A97E794}" id="{B35CDCC8-78E8-AA42-8A3D-EA39365A9226}">
    <text>Only membership based on % of SN participants joining as members.</text>
  </threadedComment>
  <threadedComment ref="C53" dT="2020-10-15T19:07:47.11" personId="{F5FCFE7F-6D76-7449-82A4-73C07A97E794}" id="{313540B7-1F96-A442-965C-77065E662231}">
    <text>Membership Platform</text>
  </threadedComment>
  <threadedComment ref="M53" dT="2020-09-17T20:26:11.79" personId="{F5FCFE7F-6D76-7449-82A4-73C07A97E794}" id="{BB949856-4877-D042-BD2B-3CBE38CDD9A4}">
    <text>Virtuous license</text>
  </threadedComment>
  <threadedComment ref="B58" dT="2020-12-08T16:16:26.12" personId="{DE3DA967-B69A-404A-B88F-0DD05677A89E}" id="{3F459C21-4F43-2545-90E7-15045EE5BEA9}">
    <text>$3k monthly</text>
  </threadedComment>
  <threadedComment ref="D58" dT="2020-10-22T20:32:42.69" personId="{F5FCFE7F-6D76-7449-82A4-73C07A97E794}" id="{EFBBC876-D236-DB44-ACF6-A982CFDB0126}">
    <text>First payment for Horseshoe Bay - $8500</text>
  </threadedComment>
  <threadedComment ref="E58" dT="2020-10-14T21:40:30.26" personId="{F5FCFE7F-6D76-7449-82A4-73C07A97E794}" id="{61B6493A-AA3C-F74E-ACF2-42F4F347D186}">
    <text>Second payment to Horseshoe Bay - $8500</text>
  </threadedComment>
  <threadedComment ref="H58" dT="2020-10-14T21:40:59.00" personId="{F5FCFE7F-6D76-7449-82A4-73C07A97E794}" id="{EC32FF88-5F35-6342-A1B2-B5E0BE3EBC58}">
    <text>Third payment to Horseshoe Bay - $8500</text>
  </threadedComment>
  <threadedComment ref="I58" dT="2020-10-22T20:34:34.93" personId="{F5FCFE7F-6D76-7449-82A4-73C07A97E794}" id="{70844BF8-35B4-1B43-92F4-24526886E182}">
    <text>Fourth
 payment to Horseshoe Bay - $8500</text>
  </threadedComment>
  <threadedComment ref="J58" dT="2020-10-22T20:38:43.00" personId="{F5FCFE7F-6D76-7449-82A4-73C07A97E794}" id="{163EAE9A-08A6-0441-9380-12245196310F}">
    <text>Includes $15k for golf outing materials, such as gift bags, etc.</text>
  </threadedComment>
  <threadedComment ref="K58" dT="2020-10-22T20:36:15.59" personId="{F5FCFE7F-6D76-7449-82A4-73C07A97E794}" id="{5C6F637F-8280-1A4B-9730-9AEAE3BEE562}">
    <text>Final payment to Horseshoe Bay (Estimated $3
5,000)</text>
  </threadedComment>
  <threadedComment ref="L58" dT="2019-09-11T20:28:57.84" personId="{DE3DA967-B69A-404A-B88F-0DD05677A89E}" id="{B69FFCDE-CD6D-E148-A5EC-6FB64113EC83}">
    <text>Digizent monthly + Dallas invitations</text>
  </threadedComment>
  <threadedComment ref="M58" dT="2019-09-11T20:32:00.11" personId="{DE3DA967-B69A-404A-B88F-0DD05677A89E}" id="{E837A4D7-AD2E-844E-9DCA-1174A5B43398}">
    <text>Digizent end-of-year $3,106 + $1,000 for Dallas event food</text>
  </threadedComment>
  <threadedComment ref="B69" dT="2020-11-30T20:53:54.79" personId="{DE3DA967-B69A-404A-B88F-0DD05677A89E}" id="{53B9E529-3A06-2248-BEC1-AACF7E3CD073}">
    <text>was $5300 Feathr</text>
  </threadedComment>
  <threadedComment ref="K69" dT="2020-08-11T20:27:46.42" personId="{DE3DA967-B69A-404A-B88F-0DD05677A89E}" id="{CF902501-E0B8-F54C-8E14-C9C8448F7203}">
    <text>Feathr license</text>
  </threadedComment>
  <threadedComment ref="L74" dT="2019-09-11T20:51:38.74" personId="{DE3DA967-B69A-404A-B88F-0DD05677A89E}" id="{4E9ABFB9-D16C-E849-A4BD-0EA80BF031E4}">
    <text>Golf donor event travel</text>
  </threadedComment>
  <threadedComment ref="B75" dT="2020-12-08T16:17:31.20" personId="{DE3DA967-B69A-404A-B88F-0DD05677A89E}" id="{3974EC34-00B5-AB46-886C-7D1F0CE2421B}">
    <text>$2900</text>
  </threadedComment>
  <threadedComment ref="C75" dT="2020-12-08T16:17:47.26" personId="{DE3DA967-B69A-404A-B88F-0DD05677A89E}" id="{D1D6CE1F-D0A3-7140-B39E-4CC427961DC9}">
    <text>$4k</text>
  </threadedComment>
  <threadedComment ref="D75" dT="2020-12-08T16:18:01.62" personId="{DE3DA967-B69A-404A-B88F-0DD05677A89E}" id="{894F5E89-3DED-B94F-B95A-871067F69168}">
    <text>$1100</text>
  </threadedComment>
  <threadedComment ref="F79" dT="2020-10-22T19:07:24.18" personId="{F5FCFE7F-6D76-7449-82A4-73C07A97E794}" id="{9A8E6834-84F0-B446-9835-64919D5C41CF}">
    <text>Includes AV ($4000), Tech Support ($1000) and Medical Staff ($500)</text>
  </threadedComment>
  <threadedComment ref="G83" dT="2020-10-22T19:20:22.54" personId="{F5FCFE7F-6D76-7449-82A4-73C07A97E794}" id="{353384E2-ED84-8F4B-9A7F-0596F7D75E84}">
    <text>FiveTwo Staff (5) travel and hotel</text>
  </threadedComment>
  <threadedComment ref="B94" dT="2020-10-14T21:54:14.26" personId="{F5FCFE7F-6D76-7449-82A4-73C07A97E794}" id="{9199B05C-ECC5-EE4C-8ABE-34CD39B4A1FB}">
    <text xml:space="preserve">Includes assessments for Advanced team leaders, 25% of Advanced teams purchase 3 assessments </text>
  </threadedComment>
  <threadedComment ref="G94" dT="2020-10-14T21:56:57.69" personId="{F5FCFE7F-6D76-7449-82A4-73C07A97E794}" id="{4BA163B5-4096-9741-9BDE-7230CA0E3244}">
    <text>Assessments for next month Accelerator</text>
  </threadedComment>
  <threadedComment ref="F98" dT="2020-10-14T00:19:38.11" personId="{F5FCFE7F-6D76-7449-82A4-73C07A97E794}" id="{CBE7FB8B-64F0-4F47-8B40-62045DA30336}">
    <text>Learn Dash annual fees</text>
  </threadedComment>
  <threadedComment ref="K100" dT="2020-10-20T23:03:01.18" personId="{F5FCFE7F-6D76-7449-82A4-73C07A97E794}" id="{EC7E11A0-AD59-344A-B3FB-5C38145E13A4}">
    <text>Assumes Bill is one trainer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DB1BCD11-BED0-E042-91C4-669954DF2C3F}">
    <text>Trinity Lisle $5k
Bethany $1250</text>
  </threadedComment>
  <threadedComment ref="B9" dT="2021-01-25T22:27:44.15" personId="{DE3DA967-B69A-404A-B88F-0DD05677A89E}" id="{F57AC040-068A-D34C-AE0D-D1BF785AF55C}" parentId="{DB1BCD11-BED0-E042-91C4-669954DF2C3F}">
    <text>Trinity Lisle $5k, Bethany $1250</text>
  </threadedComment>
  <threadedComment ref="B9" dT="2021-01-27T18:09:03.96" personId="{DE3DA967-B69A-404A-B88F-0DD05677A89E}" id="{69EDBE6C-253C-5945-BEF7-7AEBE4435CB1}" parentId="{DB1BCD11-BED0-E042-91C4-669954DF2C3F}">
    <text>$5k Immanuel Macomb and $3k Messiah - Plano</text>
  </threadedComment>
  <threadedComment ref="G9" dT="2019-03-06T17:07:53.46" personId="{DE3DA967-B69A-404A-B88F-0DD05677A89E}" id="{00FA410A-580D-B44F-9E7A-6DD5AF2FD544}">
    <text>Trinity Lisle $5k</text>
  </threadedComment>
  <threadedComment ref="G9" dT="2019-07-10T18:36:03.04" personId="{DE3DA967-B69A-404A-B88F-0DD05677A89E}" id="{6E9A289E-B344-B14B-A025-1FECCC7757EA}" parentId="{00FA410A-580D-B44F-9E7A-6DD5AF2FD544}">
    <text>Also includes Bethany 1250 and Summit 2500</text>
  </threadedComment>
  <threadedComment ref="G9" dT="2020-10-13T18:58:41.24" personId="{F5FCFE7F-6D76-7449-82A4-73C07A97E794}" id="{2FB59D2E-AF16-E047-82FD-6AFAE1C620BA}" parentId="{00FA410A-580D-B44F-9E7A-6DD5AF2FD544}">
    <text>Summit 1250</text>
  </threadedComment>
  <threadedComment ref="J9" dT="2019-03-06T17:10:00.29" personId="{DE3DA967-B69A-404A-B88F-0DD05677A89E}" id="{41E30E70-FDEE-5B49-B189-20D78D2FA797}">
    <text>Our Savior McKinney $12k
Summit $2,500
Gloria Dei $10,000</text>
  </threadedComment>
  <threadedComment ref="J9" dT="2020-10-13T19:25:31.37" personId="{F5FCFE7F-6D76-7449-82A4-73C07A97E794}" id="{079C0CC3-3DE2-2E4A-8C4D-510E249CF3B7}" parentId="{41E30E70-FDEE-5B49-B189-20D78D2FA797}">
    <text>Summit 1250; OSM - 0</text>
  </threadedComment>
  <threadedComment ref="M9" dT="2020-10-22T19:34:28.69" personId="{F5FCFE7F-6D76-7449-82A4-73C07A97E794}" id="{880E213D-3434-044D-8038-F0ED6FCA2F3C}">
    <text>Summit 1250 and assumed additional $2500</text>
  </threadedComment>
  <threadedComment ref="B10" dT="2021-01-11T20:43:14.39" personId="{DE3DA967-B69A-404A-B88F-0DD05677A89E}" id="{D24118D3-77DD-354A-B0B8-603064D024E4}">
    <text>Includes $15k gift</text>
  </threadedComment>
  <threadedComment ref="D10" dT="2020-12-22T18:56:21.78" personId="{DE3DA967-B69A-404A-B88F-0DD05677A89E}" id="{3F2E022A-EA4A-6F40-9391-22930C381258}">
    <text>$10k Gloria Dei event
$10k Las Vegas donor</text>
  </threadedComment>
  <threadedComment ref="H10" dT="2020-05-12T18:15:28.64" personId="{DE3DA967-B69A-404A-B88F-0DD05677A89E}" id="{7C9F6E7E-FB8F-6646-A8F1-8C2B342624E4}">
    <text>$5k added for virtual donor Las Vegas</text>
  </threadedComment>
  <threadedComment ref="H10" dT="2020-08-11T20:17:06.27" personId="{DE3DA967-B69A-404A-B88F-0DD05677A89E}" id="{106CD6B2-4D06-CA4D-9733-0443A5CD1360}" parentId="{7C9F6E7E-FB8F-6646-A8F1-8C2B342624E4}">
    <text>Did not happen.</text>
  </threadedComment>
  <threadedComment ref="I10" dT="2020-07-27T19:53:34.28" personId="{DE3DA967-B69A-404A-B88F-0DD05677A89E}" id="{827BAD15-7F58-534A-845C-74515DDCB2B1}">
    <text>Cook $30k gift for golf event</text>
  </threadedComment>
  <threadedComment ref="K10" dT="2020-10-13T22:46:27.36" personId="{F5FCFE7F-6D76-7449-82A4-73C07A97E794}" id="{DB622C44-41C2-6B4A-8A14-FE9B4281EE38}">
    <text>Golf, Give, Grow Getaway</text>
  </threadedComment>
  <threadedComment ref="L10" dT="2020-10-22T19:38:39.51" personId="{F5FCFE7F-6D76-7449-82A4-73C07A97E794}" id="{C040AAA6-4812-A441-AFE2-45611C156012}">
    <text>Year end campaign</text>
  </threadedComment>
  <threadedComment ref="A13" dT="2020-10-15T18:37:01.56" personId="{F5FCFE7F-6D76-7449-82A4-73C07A97E794}" id="{812D1E15-D09E-7C46-8C9D-CA9C40BC29D3}">
    <text xml:space="preserve">Work in Summits starting in Q2.    </text>
  </threadedComment>
  <threadedComment ref="F14" dT="2020-10-22T19:12:39.69" personId="{F5FCFE7F-6D76-7449-82A4-73C07A97E794}" id="{EEFD2485-4B1F-D54C-ACD6-7CB6D0E464AB}">
    <text xml:space="preserve">$34k revenue from each conference assumes 200 attendees and pricing of $149 (early bird) and $179.  </text>
  </threadedComment>
  <threadedComment ref="K37" dT="2020-12-09T22:23:25.05" personId="{DE3DA967-B69A-404A-B88F-0DD05677A89E}" id="{AEB0432C-5125-CD45-B250-5B244A0E5A00}">
    <text xml:space="preserve">$87000
</text>
  </threadedComment>
  <threadedComment ref="D41" dT="2021-02-10T20:13:00.80" personId="{DE3DA967-B69A-404A-B88F-0DD05677A89E}" id="{D1BC090D-9109-4A42-804B-F2D06BCFEBD4}">
    <text>St. John’s Seward cancelled - was $7500</text>
  </threadedComment>
  <threadedComment ref="G41" dT="2021-02-10T20:13:00.80" personId="{DE3DA967-B69A-404A-B88F-0DD05677A89E}" id="{DA4ED5F8-AA84-054B-AC9E-898CD9E447C1}">
    <text>St. John’s Seward cancelled - was $7500</text>
  </threadedComment>
  <threadedComment ref="J41" dT="2021-02-10T20:13:00.80" personId="{DE3DA967-B69A-404A-B88F-0DD05677A89E}" id="{75416DA1-19F8-3240-8D52-BDB0F5A65E56}">
    <text>St. John’s Seward cancelled - was $7500</text>
  </threadedComment>
  <threadedComment ref="M41" dT="2021-02-10T20:13:00.80" personId="{DE3DA967-B69A-404A-B88F-0DD05677A89E}" id="{CCF9D164-E77E-D543-85F3-F509A8E8EF5E}">
    <text>St. John’s Seward cancelled - was $7500</text>
  </threadedComment>
  <threadedComment ref="B42" dT="2020-10-14T21:32:40.97" personId="{F5FCFE7F-6D76-7449-82A4-73C07A97E794}" id="{DAF7057C-4D49-CC43-907E-9DD5EB9718BA}">
    <text>Only membership based on % of SN participants joining as members.</text>
  </threadedComment>
  <threadedComment ref="M53" dT="2020-09-17T20:26:11.79" personId="{F5FCFE7F-6D76-7449-82A4-73C07A97E794}" id="{81850401-4671-324E-B3E0-F6A1E8035130}">
    <text>Virtuous license</text>
  </threadedComment>
  <threadedComment ref="B58" dT="2020-12-08T16:16:26.12" personId="{DE3DA967-B69A-404A-B88F-0DD05677A89E}" id="{BC07214F-5960-7748-AF0A-C9873F70FBC6}">
    <text>$3k monthly</text>
  </threadedComment>
  <threadedComment ref="C58" dT="2021-03-04T17:56:13.60" personId="{DE3DA967-B69A-404A-B88F-0DD05677A89E}" id="{0DAF0DF8-2709-6E41-8686-C405E5CEA4D3}">
    <text>$1300 - Gloria Dei donor event
$1800 - 2020 Donor thank you gifts</text>
  </threadedComment>
  <threadedComment ref="D58" dT="2020-10-22T20:32:42.69" personId="{F5FCFE7F-6D76-7449-82A4-73C07A97E794}" id="{7C324C46-492D-F94D-B625-AB74A757FC50}">
    <text>First payment for Horseshoe Bay - $8500</text>
  </threadedComment>
  <threadedComment ref="E58" dT="2020-10-14T21:40:30.26" personId="{F5FCFE7F-6D76-7449-82A4-73C07A97E794}" id="{31646D32-2A84-EA45-83D4-E03E89CA596C}">
    <text>Second payment to Horseshoe Bay - $8500</text>
  </threadedComment>
  <threadedComment ref="H58" dT="2020-10-14T21:40:59.00" personId="{F5FCFE7F-6D76-7449-82A4-73C07A97E794}" id="{E644C537-C8E4-BD4A-9A65-BD769E2D0691}">
    <text>Third payment to Horseshoe Bay - $8500</text>
  </threadedComment>
  <threadedComment ref="I58" dT="2020-10-22T20:34:34.93" personId="{F5FCFE7F-6D76-7449-82A4-73C07A97E794}" id="{B975D4F4-7635-D648-B58F-913E16028F19}">
    <text>Fourth
 payment to Horseshoe Bay - $8500</text>
  </threadedComment>
  <threadedComment ref="J58" dT="2020-10-22T20:38:43.00" personId="{F5FCFE7F-6D76-7449-82A4-73C07A97E794}" id="{00DEE54F-F2A9-4A46-9896-57FAD950566C}">
    <text>Includes $15k for golf outing materials, such as gift bags, etc.</text>
  </threadedComment>
  <threadedComment ref="K58" dT="2020-10-22T20:36:15.59" personId="{F5FCFE7F-6D76-7449-82A4-73C07A97E794}" id="{B8D8EDF8-3265-FA49-87C2-F928EE521EB0}">
    <text>Final payment to Horseshoe Bay (Estimated $3
5,000)</text>
  </threadedComment>
  <threadedComment ref="L58" dT="2019-09-11T20:28:57.84" personId="{DE3DA967-B69A-404A-B88F-0DD05677A89E}" id="{EBAD77BC-979C-974D-B744-DADAA24F2BB2}">
    <text>Digizent monthly + Dallas invitations</text>
  </threadedComment>
  <threadedComment ref="M58" dT="2019-09-11T20:32:00.11" personId="{DE3DA967-B69A-404A-B88F-0DD05677A89E}" id="{DB201A96-1CB4-0B45-A7A2-13BD51253F45}">
    <text>Digizent end-of-year $3,106 + $1,000 for Dallas event food</text>
  </threadedComment>
  <threadedComment ref="B63" dT="2021-02-10T19:41:52.43" personId="{DE3DA967-B69A-404A-B88F-0DD05677A89E}" id="{106866D6-4753-C348-8657-E0E3580B2FD0}">
    <text>$3746 Feathr
$500 podcast agent</text>
  </threadedComment>
  <threadedComment ref="C63" dT="2021-02-10T19:58:11.57" personId="{DE3DA967-B69A-404A-B88F-0DD05677A89E}" id="{641FABF4-BC9C-7A45-824A-541F54D80800}">
    <text>$2600 - digizent 
$6250 - feathr 6 mo contract
$1500 - unseminary
$6250 - Highland
$4000 - BigClick</text>
  </threadedComment>
  <threadedComment ref="D63" dT="2021-04-09T16:36:58.69" personId="{DE3DA967-B69A-404A-B88F-0DD05677A89E}" id="{61150FFA-D01A-8A41-AF45-EE9938B7E40A}">
    <text>Includes $7245 Highland Solutions final payment</text>
  </threadedComment>
  <threadedComment ref="K69" dT="2020-08-11T20:27:46.42" personId="{DE3DA967-B69A-404A-B88F-0DD05677A89E}" id="{094133D7-78E8-6248-80AC-0EB350AF74E7}">
    <text>Feathr license</text>
  </threadedComment>
  <threadedComment ref="E70" dT="2021-03-04T20:55:40.44" personId="{DE3DA967-B69A-404A-B88F-0DD05677A89E}" id="{BC9A39E8-E074-4B4C-84A2-F4DFDD34FB38}">
    <text>$6k Big Click final payment ph 1
$9k Big Click initial payment ph 2</text>
  </threadedComment>
  <threadedComment ref="F70" dT="2021-04-09T16:42:15.74" personId="{DE3DA967-B69A-404A-B88F-0DD05677A89E}" id="{70849C03-802D-194D-AD53-714DC7CF58CF}">
    <text xml:space="preserve">$9250 Big Click Final payment ph 2
</text>
  </threadedComment>
  <threadedComment ref="C71" dT="2021-02-10T19:58:26.63" personId="{DE3DA967-B69A-404A-B88F-0DD05677A89E}" id="{CF449942-E91E-D642-B637-FCE73807521F}">
    <text>digizent</text>
  </threadedComment>
  <threadedComment ref="L74" dT="2019-09-11T20:51:38.74" personId="{DE3DA967-B69A-404A-B88F-0DD05677A89E}" id="{6992852E-AA4D-F64E-B19D-75722236BAA9}">
    <text>Golf donor event travel</text>
  </threadedComment>
  <threadedComment ref="G94" dT="2020-10-14T21:56:57.69" personId="{F5FCFE7F-6D76-7449-82A4-73C07A97E794}" id="{DF207042-542B-3442-889E-0768B2796BB4}">
    <text>Assessments for next month Accelerator</text>
  </threadedComment>
  <threadedComment ref="F98" dT="2020-10-14T00:19:38.11" personId="{F5FCFE7F-6D76-7449-82A4-73C07A97E794}" id="{C5165A84-C28C-EC41-A670-22DAA233F301}">
    <text>Learn Dash annual fees</text>
  </threadedComment>
  <threadedComment ref="K100" dT="2020-10-20T23:03:01.18" personId="{F5FCFE7F-6D76-7449-82A4-73C07A97E794}" id="{56DF731D-751D-794C-970D-BAE5023EB60A}">
    <text>Assumes Bill is one trainer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B9" dT="2019-02-13T20:50:34.19" personId="{DE3DA967-B69A-404A-B88F-0DD05677A89E}" id="{2561BC1B-D54B-3741-B504-6321D8DE4A76}">
    <text>Trinity Lisle $5k
Bethany $1250</text>
  </threadedComment>
  <threadedComment ref="B9" dT="2021-01-25T22:27:44.15" personId="{DE3DA967-B69A-404A-B88F-0DD05677A89E}" id="{0FDC8184-C157-8048-8709-35D996BF7CBD}" parentId="{2561BC1B-D54B-3741-B504-6321D8DE4A76}">
    <text>Trinity Lisle $5k, Bethany $1250</text>
  </threadedComment>
  <threadedComment ref="B9" dT="2021-01-27T18:09:03.96" personId="{DE3DA967-B69A-404A-B88F-0DD05677A89E}" id="{06EF340A-B828-BA4B-870C-6EDFA6DD150B}" parentId="{2561BC1B-D54B-3741-B504-6321D8DE4A76}">
    <text>$5k Immanuel Macomb and $3k Messiah - Plano</text>
  </threadedComment>
  <threadedComment ref="G9" dT="2019-03-06T17:07:53.46" personId="{DE3DA967-B69A-404A-B88F-0DD05677A89E}" id="{C8CE534C-2843-4A40-A11A-4E724BCC9C83}">
    <text>Trinity Lisle $5k</text>
  </threadedComment>
  <threadedComment ref="G9" dT="2019-07-10T18:36:03.04" personId="{DE3DA967-B69A-404A-B88F-0DD05677A89E}" id="{E1011FA8-2DA2-E246-B1A3-6AE3A916506F}" parentId="{C8CE534C-2843-4A40-A11A-4E724BCC9C83}">
    <text>Also includes Bethany 1250 and Summit 2500</text>
  </threadedComment>
  <threadedComment ref="G9" dT="2020-10-13T18:58:41.24" personId="{F5FCFE7F-6D76-7449-82A4-73C07A97E794}" id="{7CD735FA-F3B4-2A43-91D1-91332BF6BC3B}" parentId="{C8CE534C-2843-4A40-A11A-4E724BCC9C83}">
    <text>Summit 1250</text>
  </threadedComment>
  <threadedComment ref="J9" dT="2019-03-06T17:10:00.29" personId="{DE3DA967-B69A-404A-B88F-0DD05677A89E}" id="{80727D23-A169-4148-93A2-EE76AD070B52}">
    <text>Our Savior McKinney $12k
Summit $2,500
Gloria Dei $10,000</text>
  </threadedComment>
  <threadedComment ref="J9" dT="2020-10-13T19:25:31.37" personId="{F5FCFE7F-6D76-7449-82A4-73C07A97E794}" id="{9AC7BAC1-ECCF-1B45-BEF1-5D19861506AF}" parentId="{80727D23-A169-4148-93A2-EE76AD070B52}">
    <text>Summit 1250; OSM - 0</text>
  </threadedComment>
  <threadedComment ref="M9" dT="2020-10-22T19:34:28.69" personId="{F5FCFE7F-6D76-7449-82A4-73C07A97E794}" id="{E0321F40-A097-1742-B59A-B041815C073B}">
    <text>Summit 1250 and assumed additional $2500</text>
  </threadedComment>
  <threadedComment ref="B10" dT="2021-01-11T20:43:14.39" personId="{DE3DA967-B69A-404A-B88F-0DD05677A89E}" id="{35E65151-2ED6-8A49-993E-697432AFE775}">
    <text>Includes $15k gift</text>
  </threadedComment>
  <threadedComment ref="D10" dT="2020-12-22T18:56:21.78" personId="{DE3DA967-B69A-404A-B88F-0DD05677A89E}" id="{129C3BC1-1B39-3041-AAEE-8186BCF6BF1A}">
    <text>$10k Gloria Dei event
$10k Las Vegas donor</text>
  </threadedComment>
  <threadedComment ref="H10" dT="2020-05-12T18:15:28.64" personId="{DE3DA967-B69A-404A-B88F-0DD05677A89E}" id="{C57E2461-5F77-AA48-86FD-923822DD19C9}">
    <text>$5k added for virtual donor Las Vegas</text>
  </threadedComment>
  <threadedComment ref="H10" dT="2020-08-11T20:17:06.27" personId="{DE3DA967-B69A-404A-B88F-0DD05677A89E}" id="{B7E939F9-FF81-6449-BD71-ED74E40FFD0F}" parentId="{C57E2461-5F77-AA48-86FD-923822DD19C9}">
    <text>Did not happen.</text>
  </threadedComment>
  <threadedComment ref="I10" dT="2020-07-27T19:53:34.28" personId="{DE3DA967-B69A-404A-B88F-0DD05677A89E}" id="{5A1B6B74-91B5-374F-A059-0BC2695FEE72}">
    <text>Cook $30k gift for golf event</text>
  </threadedComment>
  <threadedComment ref="K10" dT="2020-10-13T22:46:27.36" personId="{F5FCFE7F-6D76-7449-82A4-73C07A97E794}" id="{CB166E83-23BA-CA4F-975C-013A5ECF980F}">
    <text>Golf, Give, Grow Getaway</text>
  </threadedComment>
  <threadedComment ref="L10" dT="2020-10-22T19:38:39.51" personId="{F5FCFE7F-6D76-7449-82A4-73C07A97E794}" id="{CD938FAB-636C-1F4A-923F-E61DB58E3B59}">
    <text>Year end campaign</text>
  </threadedComment>
  <threadedComment ref="A13" dT="2020-10-15T18:37:01.56" personId="{F5FCFE7F-6D76-7449-82A4-73C07A97E794}" id="{EB71CD38-E929-BB42-897D-1E267908A0C4}">
    <text xml:space="preserve">Work in Summits starting in Q2.    </text>
  </threadedComment>
  <threadedComment ref="F14" dT="2020-10-22T19:12:39.69" personId="{F5FCFE7F-6D76-7449-82A4-73C07A97E794}" id="{04FBB6FE-668C-C645-B911-EB5AFC6DA4FF}">
    <text xml:space="preserve">$34k revenue from each conference assumes 200 attendees and pricing of $149 (early bird) and $179.  </text>
  </threadedComment>
  <threadedComment ref="K37" dT="2020-12-09T22:23:25.05" personId="{DE3DA967-B69A-404A-B88F-0DD05677A89E}" id="{D33C4A0E-8686-D141-B5CD-179175866BCA}">
    <text xml:space="preserve">$87000
</text>
  </threadedComment>
  <threadedComment ref="D41" dT="2021-02-10T20:13:00.80" personId="{DE3DA967-B69A-404A-B88F-0DD05677A89E}" id="{498B3116-C14E-6C40-8E39-1516806DB9D5}">
    <text>St. John’s Seward cancelled - was $7500</text>
  </threadedComment>
  <threadedComment ref="G41" dT="2021-02-10T20:13:00.80" personId="{DE3DA967-B69A-404A-B88F-0DD05677A89E}" id="{2468E35D-F751-854F-A230-81CFD6844391}">
    <text>St. John’s Seward cancelled - was $7500</text>
  </threadedComment>
  <threadedComment ref="J41" dT="2021-02-10T20:13:00.80" personId="{DE3DA967-B69A-404A-B88F-0DD05677A89E}" id="{CF97299F-D4D7-BD4F-98FB-EC37AB5FA394}">
    <text>St. John’s Seward cancelled - was $7500</text>
  </threadedComment>
  <threadedComment ref="M41" dT="2021-02-10T20:13:00.80" personId="{DE3DA967-B69A-404A-B88F-0DD05677A89E}" id="{466111E3-84CD-8844-893E-7F5A9601277B}">
    <text>St. John’s Seward cancelled - was $7500</text>
  </threadedComment>
  <threadedComment ref="B42" dT="2020-10-14T21:32:40.97" personId="{F5FCFE7F-6D76-7449-82A4-73C07A97E794}" id="{B85A515A-2A72-C040-9373-4C94B9A1FE02}">
    <text>Only membership based on % of SN participants joining as members.</text>
  </threadedComment>
  <threadedComment ref="M53" dT="2020-09-17T20:26:11.79" personId="{F5FCFE7F-6D76-7449-82A4-73C07A97E794}" id="{8149AE55-E811-134C-B1A8-97C619A65FB8}">
    <text>Virtuous license</text>
  </threadedComment>
  <threadedComment ref="B58" dT="2020-12-08T16:16:26.12" personId="{DE3DA967-B69A-404A-B88F-0DD05677A89E}" id="{9229C624-EF31-6D44-99EC-67781DA7B890}">
    <text>$3k monthly</text>
  </threadedComment>
  <threadedComment ref="C58" dT="2021-03-04T17:56:13.60" personId="{DE3DA967-B69A-404A-B88F-0DD05677A89E}" id="{7F709DD2-CF54-3746-B04D-E6F0C8C24D6E}">
    <text>$1300 - Gloria Dei donor event
$1800 - 2020 Donor thank you gifts</text>
  </threadedComment>
  <threadedComment ref="D58" dT="2020-10-22T20:32:42.69" personId="{F5FCFE7F-6D76-7449-82A4-73C07A97E794}" id="{CAE3A89A-9F4E-1D49-BE6B-B0BB005E50AB}">
    <text>First payment for Horseshoe Bay - $8500</text>
  </threadedComment>
  <threadedComment ref="E58" dT="2020-10-14T21:40:30.26" personId="{F5FCFE7F-6D76-7449-82A4-73C07A97E794}" id="{7CD983A7-7D51-654A-94D1-A49914E48FDA}">
    <text>Second payment to Horseshoe Bay - $8500</text>
  </threadedComment>
  <threadedComment ref="H58" dT="2020-10-14T21:40:59.00" personId="{F5FCFE7F-6D76-7449-82A4-73C07A97E794}" id="{35BC5B49-7C54-9147-8798-92AE52F23DD5}">
    <text>Third payment to Horseshoe Bay - $8500</text>
  </threadedComment>
  <threadedComment ref="I58" dT="2020-10-22T20:34:34.93" personId="{F5FCFE7F-6D76-7449-82A4-73C07A97E794}" id="{C700C497-ABAC-924D-8F79-585286350012}">
    <text>Fourth
 payment to Horseshoe Bay - $8500</text>
  </threadedComment>
  <threadedComment ref="J58" dT="2020-10-22T20:38:43.00" personId="{F5FCFE7F-6D76-7449-82A4-73C07A97E794}" id="{ED3A51E8-1FC7-0249-8D2C-E5BBBABB2821}">
    <text>Includes $15k for golf outing materials, such as gift bags, etc.</text>
  </threadedComment>
  <threadedComment ref="K58" dT="2020-10-22T20:36:15.59" personId="{F5FCFE7F-6D76-7449-82A4-73C07A97E794}" id="{0CAF40A2-195A-BE4F-8F13-DC0F1CC0BF3F}">
    <text>Final payment to Horseshoe Bay (Estimated $3
5,000)</text>
  </threadedComment>
  <threadedComment ref="L58" dT="2019-09-11T20:28:57.84" personId="{DE3DA967-B69A-404A-B88F-0DD05677A89E}" id="{26820320-8C80-5745-AC6B-3249689EC306}">
    <text>Digizent monthly + Dallas invitations</text>
  </threadedComment>
  <threadedComment ref="M58" dT="2019-09-11T20:32:00.11" personId="{DE3DA967-B69A-404A-B88F-0DD05677A89E}" id="{7701AED6-9FE6-8C48-8832-CDE53C6DA75F}">
    <text>Digizent end-of-year $3,106 + $1,000 for Dallas event food</text>
  </threadedComment>
  <threadedComment ref="B63" dT="2021-02-10T19:41:52.43" personId="{DE3DA967-B69A-404A-B88F-0DD05677A89E}" id="{4A399BFF-DD0E-C54E-BE84-2596364DF415}">
    <text>$3746 Feathr
$500 podcast agent</text>
  </threadedComment>
  <threadedComment ref="C63" dT="2021-02-10T19:58:11.57" personId="{DE3DA967-B69A-404A-B88F-0DD05677A89E}" id="{313D37A3-5371-5C4B-925D-CCB265C02FDF}">
    <text>$2600 - digizent 
$6250 - feathr 6 mo contract
$1500 - unseminary
$6250 - Highland
$4000 - BigClick</text>
  </threadedComment>
  <threadedComment ref="K69" dT="2020-08-11T20:27:46.42" personId="{DE3DA967-B69A-404A-B88F-0DD05677A89E}" id="{C2D20833-3D23-D44B-AD05-ACBF1D8D0000}">
    <text>Feathr license</text>
  </threadedComment>
  <threadedComment ref="D70" dT="2021-03-04T18:00:02.16" personId="{DE3DA967-B69A-404A-B88F-0DD05677A89E}" id="{6273BFF9-A11B-6946-8E51-5D81ED9E16D6}">
    <text>$6000 - BigClick</text>
  </threadedComment>
  <threadedComment ref="E70" dT="2021-03-04T20:55:40.44" personId="{DE3DA967-B69A-404A-B88F-0DD05677A89E}" id="{7DA56874-A4C3-5248-A77F-C37C2D7BAF0C}">
    <text>Highland Solutions final payment</text>
  </threadedComment>
  <threadedComment ref="C71" dT="2021-02-10T19:58:26.63" personId="{DE3DA967-B69A-404A-B88F-0DD05677A89E}" id="{C26E88CA-9064-014E-A371-01B7B4ADF456}">
    <text>digizent</text>
  </threadedComment>
  <threadedComment ref="L74" dT="2019-09-11T20:51:38.74" personId="{DE3DA967-B69A-404A-B88F-0DD05677A89E}" id="{9C59C4B7-1066-4145-88FC-1D3E83752EDD}">
    <text>Golf donor event travel</text>
  </threadedComment>
  <threadedComment ref="G94" dT="2020-10-14T21:56:57.69" personId="{F5FCFE7F-6D76-7449-82A4-73C07A97E794}" id="{7E200162-05AC-5B47-A318-997C86D1412C}">
    <text>Assessments for next month Accelerator</text>
  </threadedComment>
  <threadedComment ref="F98" dT="2020-10-14T00:19:38.11" personId="{F5FCFE7F-6D76-7449-82A4-73C07A97E794}" id="{08D197D0-A974-BA46-8268-C839F7C55EB0}">
    <text>Learn Dash annual fees</text>
  </threadedComment>
  <threadedComment ref="K100" dT="2020-10-20T23:03:01.18" personId="{F5FCFE7F-6D76-7449-82A4-73C07A97E794}" id="{B53E1BAE-E523-6A48-81FA-B058DA47C62F}">
    <text>Assumes Bill is one trainer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8.xml"/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9.xml"/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0.xml"/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1.xml"/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workbookViewId="0">
      <selection sqref="A1:N1"/>
    </sheetView>
  </sheetViews>
  <sheetFormatPr baseColWidth="10" defaultColWidth="8.83203125" defaultRowHeight="15"/>
  <cols>
    <col min="1" max="1" width="33.6640625" style="10" bestFit="1" customWidth="1"/>
    <col min="2" max="3" width="12" style="74" customWidth="1"/>
    <col min="4" max="4" width="10.6640625" style="74" customWidth="1"/>
    <col min="5" max="14" width="12" style="74" customWidth="1"/>
    <col min="15" max="16" width="12" style="74" hidden="1" customWidth="1"/>
    <col min="17" max="17" width="10.33203125" style="74" hidden="1" customWidth="1"/>
    <col min="18" max="18" width="41.1640625" style="74" hidden="1" customWidth="1"/>
    <col min="19" max="16384" width="8.83203125" style="74"/>
  </cols>
  <sheetData>
    <row r="1" spans="1:18" ht="18">
      <c r="A1" s="792" t="s">
        <v>0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288"/>
      <c r="P1" s="288"/>
      <c r="Q1" s="288"/>
      <c r="R1" s="288"/>
    </row>
    <row r="2" spans="1:18" ht="18">
      <c r="A2" s="792" t="s">
        <v>1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288"/>
      <c r="P2" s="288"/>
      <c r="Q2" s="288"/>
      <c r="R2" s="288"/>
    </row>
    <row r="3" spans="1:18" ht="13" customHeight="1">
      <c r="A3" s="794" t="s">
        <v>2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288"/>
      <c r="P3" s="288"/>
      <c r="Q3" s="288"/>
      <c r="R3" s="288"/>
    </row>
    <row r="4" spans="1:18" ht="23" customHeight="1">
      <c r="B4" s="25" t="s">
        <v>3</v>
      </c>
      <c r="C4" s="25" t="s">
        <v>3</v>
      </c>
      <c r="D4" s="25" t="s">
        <v>3</v>
      </c>
      <c r="E4" s="25" t="s">
        <v>3</v>
      </c>
      <c r="F4" s="25" t="s">
        <v>3</v>
      </c>
      <c r="G4" s="25" t="s">
        <v>3</v>
      </c>
      <c r="H4" s="25" t="s">
        <v>3</v>
      </c>
      <c r="I4" s="25" t="s">
        <v>3</v>
      </c>
      <c r="J4" s="25" t="s">
        <v>3</v>
      </c>
      <c r="K4" s="25" t="s">
        <v>3</v>
      </c>
      <c r="L4" s="25" t="s">
        <v>3</v>
      </c>
      <c r="M4" s="25" t="s">
        <v>3</v>
      </c>
      <c r="N4" s="288"/>
      <c r="O4" s="288"/>
      <c r="P4" s="288"/>
      <c r="Q4" s="288"/>
      <c r="R4" s="288"/>
    </row>
    <row r="5" spans="1:18" ht="27">
      <c r="A5" s="8"/>
      <c r="B5" s="6">
        <v>42736</v>
      </c>
      <c r="C5" s="6">
        <v>42767</v>
      </c>
      <c r="D5" s="6">
        <v>42795</v>
      </c>
      <c r="E5" s="6">
        <v>42826</v>
      </c>
      <c r="F5" s="6">
        <v>42856</v>
      </c>
      <c r="G5" s="6">
        <v>42887</v>
      </c>
      <c r="H5" s="6">
        <v>42917</v>
      </c>
      <c r="I5" s="6">
        <v>42948</v>
      </c>
      <c r="J5" s="6">
        <v>42979</v>
      </c>
      <c r="K5" s="6">
        <v>43009</v>
      </c>
      <c r="L5" s="6">
        <v>43040</v>
      </c>
      <c r="M5" s="6">
        <v>43070</v>
      </c>
      <c r="N5" s="709" t="s">
        <v>4</v>
      </c>
      <c r="O5" s="709" t="s">
        <v>5</v>
      </c>
      <c r="P5" s="709" t="s">
        <v>6</v>
      </c>
      <c r="Q5" s="709" t="s">
        <v>7</v>
      </c>
      <c r="R5" s="23" t="s">
        <v>8</v>
      </c>
    </row>
    <row r="6" spans="1:18">
      <c r="A6" s="1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88"/>
    </row>
    <row r="7" spans="1:18" s="5" customFormat="1">
      <c r="A7" s="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8">
      <c r="A8" s="4" t="s">
        <v>11</v>
      </c>
      <c r="B8" s="12">
        <f>0</f>
        <v>0</v>
      </c>
      <c r="C8" s="12">
        <f>0</f>
        <v>0</v>
      </c>
      <c r="D8" s="12">
        <f>0</f>
        <v>0</v>
      </c>
      <c r="E8" s="12">
        <f>0</f>
        <v>0</v>
      </c>
      <c r="F8" s="12">
        <f>0</f>
        <v>0</v>
      </c>
      <c r="G8" s="12">
        <f>0</f>
        <v>0</v>
      </c>
      <c r="H8" s="12">
        <f>0</f>
        <v>0</v>
      </c>
      <c r="I8" s="12">
        <f>0</f>
        <v>0</v>
      </c>
      <c r="J8" s="12">
        <f>0</f>
        <v>0</v>
      </c>
      <c r="K8" s="12">
        <f>0</f>
        <v>0</v>
      </c>
      <c r="L8" s="12">
        <f>0</f>
        <v>0</v>
      </c>
      <c r="M8" s="12">
        <f>0</f>
        <v>0</v>
      </c>
      <c r="N8" s="12">
        <f>SUM(B8:M8)</f>
        <v>0</v>
      </c>
      <c r="O8" s="12">
        <v>30000</v>
      </c>
      <c r="P8" s="12">
        <f t="shared" ref="P8:P13" si="0">N8-O8</f>
        <v>-30000</v>
      </c>
      <c r="Q8" s="12">
        <v>0</v>
      </c>
      <c r="R8" s="27" t="s">
        <v>12</v>
      </c>
    </row>
    <row r="9" spans="1:18">
      <c r="A9" s="4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50000</v>
      </c>
      <c r="I9" s="12">
        <v>0</v>
      </c>
      <c r="J9" s="12">
        <v>0</v>
      </c>
      <c r="K9" s="12">
        <v>0</v>
      </c>
      <c r="L9" s="12">
        <v>0</v>
      </c>
      <c r="M9" s="12">
        <v>50000</v>
      </c>
      <c r="N9" s="12">
        <f>SUM(B9:M9)</f>
        <v>100000</v>
      </c>
      <c r="O9" s="12">
        <v>100000</v>
      </c>
      <c r="P9" s="12">
        <f t="shared" si="0"/>
        <v>0</v>
      </c>
      <c r="Q9" s="12">
        <v>0</v>
      </c>
      <c r="R9" s="27" t="s">
        <v>14</v>
      </c>
    </row>
    <row r="10" spans="1:18">
      <c r="A10" s="4" t="s">
        <v>15</v>
      </c>
      <c r="B10" s="12">
        <f>0</f>
        <v>0</v>
      </c>
      <c r="C10" s="12">
        <f>0</f>
        <v>0</v>
      </c>
      <c r="D10" s="12">
        <f>0</f>
        <v>0</v>
      </c>
      <c r="E10" s="12">
        <f>0</f>
        <v>0</v>
      </c>
      <c r="F10" s="12">
        <f>0</f>
        <v>0</v>
      </c>
      <c r="G10" s="12">
        <f>0</f>
        <v>0</v>
      </c>
      <c r="H10" s="12">
        <v>0</v>
      </c>
      <c r="I10" s="12">
        <f>0</f>
        <v>0</v>
      </c>
      <c r="J10" s="12">
        <f>0</f>
        <v>0</v>
      </c>
      <c r="K10" s="12">
        <f>0</f>
        <v>0</v>
      </c>
      <c r="L10" s="12">
        <f>0</f>
        <v>0</v>
      </c>
      <c r="M10" s="12">
        <f>0</f>
        <v>0</v>
      </c>
      <c r="N10" s="12">
        <f>SUM(B10:M10)</f>
        <v>0</v>
      </c>
      <c r="O10" s="12">
        <v>0</v>
      </c>
      <c r="P10" s="12">
        <f t="shared" si="0"/>
        <v>0</v>
      </c>
      <c r="Q10" s="12">
        <v>0</v>
      </c>
      <c r="R10" s="27"/>
    </row>
    <row r="11" spans="1:18">
      <c r="A11" s="4" t="s">
        <v>16</v>
      </c>
      <c r="B11" s="12">
        <f>833</f>
        <v>833</v>
      </c>
      <c r="C11" s="12">
        <f>8533</f>
        <v>8533</v>
      </c>
      <c r="D11" s="12">
        <f>10833</f>
        <v>10833</v>
      </c>
      <c r="E11" s="12">
        <f>833</f>
        <v>833</v>
      </c>
      <c r="F11" s="12">
        <f>5833</f>
        <v>5833</v>
      </c>
      <c r="G11" s="12">
        <f>833</f>
        <v>833</v>
      </c>
      <c r="H11" s="12">
        <f>833</f>
        <v>833</v>
      </c>
      <c r="I11" s="12">
        <f>833</f>
        <v>833</v>
      </c>
      <c r="J11" s="12">
        <v>20833</v>
      </c>
      <c r="K11" s="12">
        <v>5833</v>
      </c>
      <c r="L11" s="12">
        <v>833</v>
      </c>
      <c r="M11" s="12">
        <v>833</v>
      </c>
      <c r="N11" s="12">
        <f>SUM(B11:M11)</f>
        <v>57696</v>
      </c>
      <c r="O11" s="12">
        <v>52696</v>
      </c>
      <c r="P11" s="12">
        <f t="shared" si="0"/>
        <v>5000</v>
      </c>
      <c r="Q11" s="12">
        <v>0</v>
      </c>
      <c r="R11" s="27" t="s">
        <v>17</v>
      </c>
    </row>
    <row r="12" spans="1:18">
      <c r="A12" s="4" t="s">
        <v>18</v>
      </c>
      <c r="B12" s="12">
        <f>8629.19</f>
        <v>8629.19</v>
      </c>
      <c r="C12" s="12">
        <f>6062.09</f>
        <v>6062.09</v>
      </c>
      <c r="D12" s="12">
        <f>4328.51</f>
        <v>4328.51</v>
      </c>
      <c r="E12" s="12">
        <f>5706.88</f>
        <v>5706.88</v>
      </c>
      <c r="F12" s="12">
        <f>6961.49</f>
        <v>6961.49</v>
      </c>
      <c r="G12" s="12">
        <f>4833.43</f>
        <v>4833.43</v>
      </c>
      <c r="H12" s="12">
        <f>4695.03</f>
        <v>4695.03</v>
      </c>
      <c r="I12" s="12">
        <f>5924.74</f>
        <v>5924.74</v>
      </c>
      <c r="J12" s="12">
        <v>4000</v>
      </c>
      <c r="K12" s="12">
        <v>4000</v>
      </c>
      <c r="L12" s="12">
        <v>15000</v>
      </c>
      <c r="M12" s="12">
        <v>15000</v>
      </c>
      <c r="N12" s="12">
        <f>SUM(B12:M12)</f>
        <v>85141.36</v>
      </c>
      <c r="O12" s="12">
        <v>84049</v>
      </c>
      <c r="P12" s="12">
        <f t="shared" si="0"/>
        <v>1092.3600000000006</v>
      </c>
      <c r="Q12" s="12">
        <v>0</v>
      </c>
      <c r="R12" s="27"/>
    </row>
    <row r="13" spans="1:18">
      <c r="A13" s="1" t="s">
        <v>19</v>
      </c>
      <c r="B13" s="20">
        <f t="shared" ref="B13:O13" si="1">SUM(B8:B12)</f>
        <v>9462.19</v>
      </c>
      <c r="C13" s="20">
        <f t="shared" si="1"/>
        <v>14595.09</v>
      </c>
      <c r="D13" s="20">
        <f t="shared" si="1"/>
        <v>15161.51</v>
      </c>
      <c r="E13" s="20">
        <f t="shared" si="1"/>
        <v>6539.88</v>
      </c>
      <c r="F13" s="20">
        <f t="shared" si="1"/>
        <v>12794.49</v>
      </c>
      <c r="G13" s="20">
        <f t="shared" si="1"/>
        <v>5666.43</v>
      </c>
      <c r="H13" s="20">
        <f t="shared" si="1"/>
        <v>55528.03</v>
      </c>
      <c r="I13" s="20">
        <f t="shared" si="1"/>
        <v>6757.74</v>
      </c>
      <c r="J13" s="20">
        <f t="shared" si="1"/>
        <v>24833</v>
      </c>
      <c r="K13" s="20">
        <f t="shared" si="1"/>
        <v>9833</v>
      </c>
      <c r="L13" s="20">
        <f t="shared" si="1"/>
        <v>15833</v>
      </c>
      <c r="M13" s="20">
        <f t="shared" si="1"/>
        <v>65833</v>
      </c>
      <c r="N13" s="20">
        <f t="shared" si="1"/>
        <v>242837.36</v>
      </c>
      <c r="O13" s="20">
        <f t="shared" si="1"/>
        <v>266745</v>
      </c>
      <c r="P13" s="20">
        <f t="shared" si="0"/>
        <v>-23907.640000000014</v>
      </c>
      <c r="Q13" s="20">
        <f>SUM(Q7:Q12)</f>
        <v>0</v>
      </c>
      <c r="R13" s="27"/>
    </row>
    <row r="14" spans="1:18" ht="6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7"/>
    </row>
    <row r="15" spans="1:18" s="5" customFormat="1">
      <c r="A15" s="1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7"/>
    </row>
    <row r="16" spans="1:18">
      <c r="A16" s="4" t="s">
        <v>21</v>
      </c>
      <c r="B16" s="12">
        <v>0</v>
      </c>
      <c r="C16" s="12">
        <f>0</f>
        <v>0</v>
      </c>
      <c r="D16" s="12">
        <f>0</f>
        <v>0</v>
      </c>
      <c r="E16" s="12">
        <v>6700</v>
      </c>
      <c r="F16" s="12">
        <v>7400</v>
      </c>
      <c r="G16" s="12">
        <v>0</v>
      </c>
      <c r="H16" s="12">
        <v>14000</v>
      </c>
      <c r="I16" s="12">
        <v>9000</v>
      </c>
      <c r="J16" s="26">
        <v>8700</v>
      </c>
      <c r="K16" s="26">
        <v>1500</v>
      </c>
      <c r="L16" s="12">
        <v>3700</v>
      </c>
      <c r="M16" s="12">
        <f>0</f>
        <v>0</v>
      </c>
      <c r="N16" s="12">
        <f>SUM(B16:M16)</f>
        <v>51000</v>
      </c>
      <c r="O16" s="12">
        <v>21889</v>
      </c>
      <c r="P16" s="12">
        <f>N16-O16</f>
        <v>29111</v>
      </c>
      <c r="Q16" s="26">
        <v>0</v>
      </c>
      <c r="R16" s="27" t="s">
        <v>22</v>
      </c>
    </row>
    <row r="17" spans="1:18">
      <c r="A17" s="4" t="s">
        <v>23</v>
      </c>
      <c r="B17" s="12">
        <f>0</f>
        <v>0</v>
      </c>
      <c r="C17" s="12">
        <f>0</f>
        <v>0</v>
      </c>
      <c r="D17" s="12">
        <f>0</f>
        <v>0</v>
      </c>
      <c r="E17" s="12">
        <f>0</f>
        <v>0</v>
      </c>
      <c r="F17" s="12">
        <f>0</f>
        <v>0</v>
      </c>
      <c r="G17" s="28">
        <v>30500</v>
      </c>
      <c r="H17" s="12">
        <v>6000</v>
      </c>
      <c r="I17" s="12">
        <v>3600</v>
      </c>
      <c r="J17" s="26">
        <v>14000</v>
      </c>
      <c r="K17" s="26">
        <v>900</v>
      </c>
      <c r="L17" s="12">
        <f>0</f>
        <v>0</v>
      </c>
      <c r="M17" s="12">
        <f>0</f>
        <v>0</v>
      </c>
      <c r="N17" s="12">
        <f>SUM(B17:M17)</f>
        <v>55000</v>
      </c>
      <c r="O17" s="12">
        <v>34600</v>
      </c>
      <c r="P17" s="12">
        <f>N17-O17</f>
        <v>20400</v>
      </c>
      <c r="Q17" s="26">
        <v>0</v>
      </c>
      <c r="R17" s="27" t="s">
        <v>24</v>
      </c>
    </row>
    <row r="18" spans="1:18">
      <c r="A18" s="4" t="s">
        <v>25</v>
      </c>
      <c r="B18" s="12">
        <v>0</v>
      </c>
      <c r="C18" s="12">
        <f>0</f>
        <v>0</v>
      </c>
      <c r="D18" s="12">
        <f>0</f>
        <v>0</v>
      </c>
      <c r="E18" s="12">
        <f>0</f>
        <v>0</v>
      </c>
      <c r="F18" s="12">
        <f>0</f>
        <v>0</v>
      </c>
      <c r="G18" s="12">
        <f>0</f>
        <v>0</v>
      </c>
      <c r="H18" s="12">
        <f>0</f>
        <v>0</v>
      </c>
      <c r="I18" s="12">
        <f>0</f>
        <v>0</v>
      </c>
      <c r="J18" s="12">
        <v>0</v>
      </c>
      <c r="K18" s="12">
        <v>1000</v>
      </c>
      <c r="L18" s="12">
        <f>0</f>
        <v>0</v>
      </c>
      <c r="M18" s="12">
        <f>0</f>
        <v>0</v>
      </c>
      <c r="N18" s="12">
        <f>SUM(B18:M18)</f>
        <v>1000</v>
      </c>
      <c r="O18" s="12">
        <v>973</v>
      </c>
      <c r="P18" s="12">
        <f>N18-O18</f>
        <v>27</v>
      </c>
      <c r="Q18" s="12">
        <v>0</v>
      </c>
      <c r="R18" s="27"/>
    </row>
    <row r="19" spans="1:18" s="3" customFormat="1">
      <c r="A19" s="1" t="s">
        <v>26</v>
      </c>
      <c r="B19" s="20">
        <f>SUM(B16:B18)</f>
        <v>0</v>
      </c>
      <c r="C19" s="20">
        <f t="shared" ref="C19:O19" si="2">SUM(C16:C18)</f>
        <v>0</v>
      </c>
      <c r="D19" s="20">
        <f t="shared" si="2"/>
        <v>0</v>
      </c>
      <c r="E19" s="20">
        <f t="shared" si="2"/>
        <v>6700</v>
      </c>
      <c r="F19" s="20">
        <f t="shared" si="2"/>
        <v>7400</v>
      </c>
      <c r="G19" s="20">
        <f t="shared" si="2"/>
        <v>30500</v>
      </c>
      <c r="H19" s="20">
        <f t="shared" si="2"/>
        <v>20000</v>
      </c>
      <c r="I19" s="20">
        <f t="shared" si="2"/>
        <v>12600</v>
      </c>
      <c r="J19" s="20">
        <f t="shared" si="2"/>
        <v>22700</v>
      </c>
      <c r="K19" s="20">
        <f t="shared" si="2"/>
        <v>3400</v>
      </c>
      <c r="L19" s="20">
        <f t="shared" si="2"/>
        <v>3700</v>
      </c>
      <c r="M19" s="20">
        <f t="shared" si="2"/>
        <v>0</v>
      </c>
      <c r="N19" s="20">
        <f t="shared" si="2"/>
        <v>107000</v>
      </c>
      <c r="O19" s="20">
        <f t="shared" si="2"/>
        <v>57462</v>
      </c>
      <c r="P19" s="20">
        <f>N19-O19</f>
        <v>49538</v>
      </c>
      <c r="Q19" s="20">
        <f>SUM(Q15:Q18)</f>
        <v>0</v>
      </c>
      <c r="R19" s="27"/>
    </row>
    <row r="20" spans="1:18" ht="6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7"/>
    </row>
    <row r="21" spans="1:18">
      <c r="A21" s="1" t="s">
        <v>27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7"/>
    </row>
    <row r="22" spans="1:18">
      <c r="A22" s="30" t="s">
        <v>28</v>
      </c>
      <c r="B22" s="12">
        <f>0</f>
        <v>0</v>
      </c>
      <c r="C22" s="12">
        <f>0</f>
        <v>0</v>
      </c>
      <c r="D22" s="12">
        <v>0</v>
      </c>
      <c r="E22" s="12">
        <v>0</v>
      </c>
      <c r="F22" s="12">
        <f>0</f>
        <v>0</v>
      </c>
      <c r="G22" s="12">
        <v>0</v>
      </c>
      <c r="H22" s="12">
        <f>0</f>
        <v>0</v>
      </c>
      <c r="I22" s="12">
        <f>0</f>
        <v>0</v>
      </c>
      <c r="J22" s="12">
        <f>0</f>
        <v>0</v>
      </c>
      <c r="K22" s="12">
        <f>0</f>
        <v>0</v>
      </c>
      <c r="L22" s="12">
        <f>0</f>
        <v>0</v>
      </c>
      <c r="M22" s="12">
        <f>0</f>
        <v>0</v>
      </c>
      <c r="N22" s="12">
        <f>SUM(B22:M22)</f>
        <v>0</v>
      </c>
      <c r="O22" s="12">
        <v>4037</v>
      </c>
      <c r="P22" s="12">
        <f>N22-O22</f>
        <v>-4037</v>
      </c>
      <c r="Q22" s="12">
        <v>0</v>
      </c>
      <c r="R22" s="27"/>
    </row>
    <row r="23" spans="1:18">
      <c r="A23" s="4" t="s">
        <v>29</v>
      </c>
      <c r="B23" s="20">
        <f>B22</f>
        <v>0</v>
      </c>
      <c r="C23" s="20">
        <f t="shared" ref="C23:N23" si="3">C22</f>
        <v>0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>SUM(O22)</f>
        <v>4037</v>
      </c>
      <c r="P23" s="20">
        <f>N23-O23</f>
        <v>-4037</v>
      </c>
      <c r="Q23" s="20">
        <f>Q22</f>
        <v>0</v>
      </c>
      <c r="R23" s="27"/>
    </row>
    <row r="24" spans="1:18" ht="6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7"/>
    </row>
    <row r="25" spans="1:18">
      <c r="A25" s="1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7"/>
    </row>
    <row r="26" spans="1:18">
      <c r="A26" s="4" t="s">
        <v>31</v>
      </c>
      <c r="B26" s="12">
        <v>50</v>
      </c>
      <c r="C26" s="12">
        <v>50</v>
      </c>
      <c r="D26" s="12">
        <v>50</v>
      </c>
      <c r="E26" s="12">
        <v>50</v>
      </c>
      <c r="F26" s="12">
        <v>50</v>
      </c>
      <c r="G26" s="12">
        <v>50</v>
      </c>
      <c r="H26" s="12">
        <v>50</v>
      </c>
      <c r="I26" s="12">
        <v>50</v>
      </c>
      <c r="J26" s="12">
        <v>50</v>
      </c>
      <c r="K26" s="12">
        <v>50</v>
      </c>
      <c r="L26" s="12">
        <v>50</v>
      </c>
      <c r="M26" s="12">
        <v>50</v>
      </c>
      <c r="N26" s="12">
        <f>(((((((((((B26)+(C26))+(D26))+(E26))+(F26))+(G26))+(H26))+(I26))+(J26))+(K26))+(L26))+(M26)</f>
        <v>600</v>
      </c>
      <c r="O26" s="12">
        <v>490</v>
      </c>
      <c r="P26" s="12">
        <f>N26-O26</f>
        <v>110</v>
      </c>
      <c r="Q26" s="12">
        <v>0</v>
      </c>
      <c r="R26" s="27"/>
    </row>
    <row r="27" spans="1:18">
      <c r="A27" s="4" t="s">
        <v>32</v>
      </c>
      <c r="B27" s="12">
        <v>50</v>
      </c>
      <c r="C27" s="12">
        <v>50</v>
      </c>
      <c r="D27" s="12">
        <v>50</v>
      </c>
      <c r="E27" s="12">
        <v>50</v>
      </c>
      <c r="F27" s="12">
        <v>50</v>
      </c>
      <c r="G27" s="12">
        <v>50</v>
      </c>
      <c r="H27" s="12">
        <v>50</v>
      </c>
      <c r="I27" s="12">
        <v>50</v>
      </c>
      <c r="J27" s="12">
        <v>50</v>
      </c>
      <c r="K27" s="12">
        <v>50</v>
      </c>
      <c r="L27" s="12">
        <v>50</v>
      </c>
      <c r="M27" s="12">
        <v>50</v>
      </c>
      <c r="N27" s="12">
        <f>SUM(B27:M27)</f>
        <v>600</v>
      </c>
      <c r="O27" s="12">
        <v>48</v>
      </c>
      <c r="P27" s="12">
        <f>N27-O27</f>
        <v>552</v>
      </c>
      <c r="Q27" s="12">
        <v>0</v>
      </c>
      <c r="R27" s="27"/>
    </row>
    <row r="28" spans="1:18">
      <c r="A28" s="4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7"/>
    </row>
    <row r="29" spans="1:18">
      <c r="A29" s="4" t="s">
        <v>34</v>
      </c>
      <c r="B29" s="12">
        <v>0</v>
      </c>
      <c r="C29" s="12">
        <v>10000</v>
      </c>
      <c r="D29" s="12">
        <v>10000</v>
      </c>
      <c r="E29" s="12">
        <v>10000</v>
      </c>
      <c r="F29" s="12">
        <v>10000</v>
      </c>
      <c r="G29" s="12">
        <v>15000</v>
      </c>
      <c r="H29" s="12">
        <v>11666.67</v>
      </c>
      <c r="I29" s="12">
        <v>11666.67</v>
      </c>
      <c r="J29" s="12">
        <v>11666.67</v>
      </c>
      <c r="K29" s="12">
        <v>11666.67</v>
      </c>
      <c r="L29" s="12">
        <v>11666.67</v>
      </c>
      <c r="M29" s="12">
        <v>11666.67</v>
      </c>
      <c r="N29" s="12">
        <f>SUM(B29:M29)</f>
        <v>125000.01999999999</v>
      </c>
      <c r="O29" s="12">
        <v>0</v>
      </c>
      <c r="P29" s="12">
        <f t="shared" ref="P29:P34" si="4">N29-O29</f>
        <v>125000.01999999999</v>
      </c>
      <c r="Q29" s="12">
        <v>0</v>
      </c>
      <c r="R29" s="27" t="s">
        <v>35</v>
      </c>
    </row>
    <row r="30" spans="1:18">
      <c r="A30" s="4" t="s">
        <v>36</v>
      </c>
      <c r="B30" s="12">
        <v>10833</v>
      </c>
      <c r="C30" s="12">
        <v>10833</v>
      </c>
      <c r="D30" s="12">
        <v>10833</v>
      </c>
      <c r="E30" s="12">
        <v>10833</v>
      </c>
      <c r="F30" s="12">
        <v>10833</v>
      </c>
      <c r="G30" s="12">
        <v>10833</v>
      </c>
      <c r="H30" s="12">
        <v>10833</v>
      </c>
      <c r="I30" s="12">
        <v>10833</v>
      </c>
      <c r="J30" s="12">
        <v>10833</v>
      </c>
      <c r="K30" s="12">
        <v>10833</v>
      </c>
      <c r="L30" s="12">
        <v>10833</v>
      </c>
      <c r="M30" s="12">
        <v>10833</v>
      </c>
      <c r="N30" s="12">
        <f>SUM(B30:M30)</f>
        <v>129996</v>
      </c>
      <c r="O30" s="12">
        <v>129997</v>
      </c>
      <c r="P30" s="12">
        <f t="shared" si="4"/>
        <v>-1</v>
      </c>
      <c r="Q30" s="12">
        <v>0</v>
      </c>
      <c r="R30" s="27"/>
    </row>
    <row r="31" spans="1:18">
      <c r="A31" s="31" t="s">
        <v>37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f>SUM(B31:M31)</f>
        <v>0</v>
      </c>
      <c r="O31" s="26">
        <v>0</v>
      </c>
      <c r="P31" s="26">
        <f t="shared" si="4"/>
        <v>0</v>
      </c>
      <c r="Q31" s="12">
        <v>0</v>
      </c>
      <c r="R31" s="27" t="s">
        <v>38</v>
      </c>
    </row>
    <row r="32" spans="1:18">
      <c r="A32" s="72" t="s">
        <v>39</v>
      </c>
      <c r="B32" s="71" t="e">
        <f>'StartNew Revenue &amp; Costs'!B5</f>
        <v>#REF!</v>
      </c>
      <c r="C32" s="71" t="e">
        <f>'StartNew Revenue &amp; Costs'!C5</f>
        <v>#REF!</v>
      </c>
      <c r="D32" s="71" t="e">
        <f>'StartNew Revenue &amp; Costs'!D5</f>
        <v>#REF!</v>
      </c>
      <c r="E32" s="71" t="e">
        <f>'StartNew Revenue &amp; Costs'!E5</f>
        <v>#REF!</v>
      </c>
      <c r="F32" s="71" t="e">
        <f>'StartNew Revenue &amp; Costs'!F5</f>
        <v>#REF!</v>
      </c>
      <c r="G32" s="71" t="e">
        <f>'StartNew Revenue &amp; Costs'!G5</f>
        <v>#REF!</v>
      </c>
      <c r="H32" s="71" t="e">
        <f>'StartNew Revenue &amp; Costs'!H5</f>
        <v>#REF!</v>
      </c>
      <c r="I32" s="71" t="e">
        <f>'StartNew Revenue &amp; Costs'!I5</f>
        <v>#REF!</v>
      </c>
      <c r="J32" s="71" t="e">
        <f>'StartNew Revenue &amp; Costs'!J5</f>
        <v>#REF!</v>
      </c>
      <c r="K32" s="71" t="e">
        <f>'StartNew Revenue &amp; Costs'!K5</f>
        <v>#REF!</v>
      </c>
      <c r="L32" s="71" t="e">
        <f>'StartNew Revenue &amp; Costs'!L5</f>
        <v>#REF!</v>
      </c>
      <c r="M32" s="71" t="e">
        <f>'StartNew Revenue &amp; Costs'!M5</f>
        <v>#REF!</v>
      </c>
      <c r="N32" s="12" t="e">
        <f>SUM(B32:M32)</f>
        <v>#REF!</v>
      </c>
      <c r="O32" s="12">
        <v>90508</v>
      </c>
      <c r="P32" s="12" t="e">
        <f t="shared" si="4"/>
        <v>#REF!</v>
      </c>
      <c r="Q32" s="12">
        <v>0</v>
      </c>
      <c r="R32" s="27" t="s">
        <v>40</v>
      </c>
    </row>
    <row r="33" spans="1:18">
      <c r="A33" s="4" t="s">
        <v>41</v>
      </c>
      <c r="B33" s="12">
        <f>0</f>
        <v>0</v>
      </c>
      <c r="C33" s="12">
        <f>0</f>
        <v>0</v>
      </c>
      <c r="D33" s="12">
        <f>0</f>
        <v>0</v>
      </c>
      <c r="E33" s="12">
        <f>0</f>
        <v>0</v>
      </c>
      <c r="F33" s="12">
        <f>0</f>
        <v>0</v>
      </c>
      <c r="G33" s="12">
        <f>0</f>
        <v>0</v>
      </c>
      <c r="H33" s="12">
        <f>0</f>
        <v>0</v>
      </c>
      <c r="I33" s="12">
        <f>0</f>
        <v>0</v>
      </c>
      <c r="J33" s="12">
        <f>0</f>
        <v>0</v>
      </c>
      <c r="K33" s="12">
        <f>0</f>
        <v>0</v>
      </c>
      <c r="L33" s="12">
        <f>0</f>
        <v>0</v>
      </c>
      <c r="M33" s="12">
        <f>0</f>
        <v>0</v>
      </c>
      <c r="N33" s="12">
        <f>SUM(B33:M33)</f>
        <v>0</v>
      </c>
      <c r="O33" s="12">
        <v>4065</v>
      </c>
      <c r="P33" s="12">
        <f t="shared" si="4"/>
        <v>-4065</v>
      </c>
      <c r="Q33" s="12">
        <v>0</v>
      </c>
      <c r="R33" s="27"/>
    </row>
    <row r="34" spans="1:18">
      <c r="A34" s="1" t="s">
        <v>42</v>
      </c>
      <c r="B34" s="20" t="e">
        <f>SUM(B26:B33)</f>
        <v>#REF!</v>
      </c>
      <c r="C34" s="20" t="e">
        <f t="shared" ref="C34:O34" si="5">SUM(C26:C33)</f>
        <v>#REF!</v>
      </c>
      <c r="D34" s="20" t="e">
        <f t="shared" si="5"/>
        <v>#REF!</v>
      </c>
      <c r="E34" s="20" t="e">
        <f t="shared" si="5"/>
        <v>#REF!</v>
      </c>
      <c r="F34" s="20" t="e">
        <f t="shared" si="5"/>
        <v>#REF!</v>
      </c>
      <c r="G34" s="20" t="e">
        <f t="shared" si="5"/>
        <v>#REF!</v>
      </c>
      <c r="H34" s="20" t="e">
        <f t="shared" si="5"/>
        <v>#REF!</v>
      </c>
      <c r="I34" s="20" t="e">
        <f t="shared" si="5"/>
        <v>#REF!</v>
      </c>
      <c r="J34" s="20" t="e">
        <f t="shared" si="5"/>
        <v>#REF!</v>
      </c>
      <c r="K34" s="20" t="e">
        <f t="shared" si="5"/>
        <v>#REF!</v>
      </c>
      <c r="L34" s="20" t="e">
        <f t="shared" si="5"/>
        <v>#REF!</v>
      </c>
      <c r="M34" s="20" t="e">
        <f t="shared" si="5"/>
        <v>#REF!</v>
      </c>
      <c r="N34" s="20" t="e">
        <f t="shared" si="5"/>
        <v>#REF!</v>
      </c>
      <c r="O34" s="20">
        <f t="shared" si="5"/>
        <v>225108</v>
      </c>
      <c r="P34" s="20" t="e">
        <f t="shared" si="4"/>
        <v>#REF!</v>
      </c>
      <c r="Q34" s="20">
        <f>SUM(Q26:Q33)</f>
        <v>0</v>
      </c>
      <c r="R34" s="27"/>
    </row>
    <row r="35" spans="1:18" ht="6" customHeigh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7"/>
    </row>
    <row r="36" spans="1:18">
      <c r="A36" s="4" t="s">
        <v>43</v>
      </c>
      <c r="B36" s="12">
        <f>0</f>
        <v>0</v>
      </c>
      <c r="C36" s="12">
        <f>0</f>
        <v>0</v>
      </c>
      <c r="D36" s="12">
        <f>0</f>
        <v>0</v>
      </c>
      <c r="E36" s="12">
        <f>0</f>
        <v>0</v>
      </c>
      <c r="F36" s="12">
        <f>0</f>
        <v>0</v>
      </c>
      <c r="G36" s="12">
        <v>0</v>
      </c>
      <c r="H36" s="12">
        <v>0</v>
      </c>
      <c r="I36" s="12">
        <f>0</f>
        <v>0</v>
      </c>
      <c r="J36" s="12">
        <f>0</f>
        <v>0</v>
      </c>
      <c r="K36" s="12">
        <f>0</f>
        <v>0</v>
      </c>
      <c r="L36" s="12">
        <f>0</f>
        <v>0</v>
      </c>
      <c r="M36" s="12">
        <f>0</f>
        <v>0</v>
      </c>
      <c r="N36" s="12">
        <f>SUM(B36:M36)</f>
        <v>0</v>
      </c>
      <c r="O36" s="12">
        <v>-2650</v>
      </c>
      <c r="P36" s="12">
        <f>N36-O36</f>
        <v>2650</v>
      </c>
      <c r="Q36" s="12">
        <v>0</v>
      </c>
      <c r="R36" s="27"/>
    </row>
    <row r="37" spans="1:18">
      <c r="A37" s="4" t="s">
        <v>44</v>
      </c>
      <c r="B37" s="12">
        <f>0</f>
        <v>0</v>
      </c>
      <c r="C37" s="12">
        <f>0</f>
        <v>0</v>
      </c>
      <c r="D37" s="12">
        <f>0</f>
        <v>0</v>
      </c>
      <c r="E37" s="12">
        <f>0</f>
        <v>0</v>
      </c>
      <c r="F37" s="12">
        <f>0</f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f>0</f>
        <v>0</v>
      </c>
      <c r="M37" s="12">
        <f>0</f>
        <v>0</v>
      </c>
      <c r="N37" s="12">
        <f>SUM(B37:M37)</f>
        <v>0</v>
      </c>
      <c r="O37" s="12">
        <v>0</v>
      </c>
      <c r="P37" s="12">
        <f>N37-O37</f>
        <v>0</v>
      </c>
      <c r="Q37" s="12">
        <v>0</v>
      </c>
      <c r="R37" s="27"/>
    </row>
    <row r="38" spans="1:18">
      <c r="A38" s="1" t="s">
        <v>45</v>
      </c>
      <c r="B38" s="20" t="e">
        <f t="shared" ref="B38:O38" si="6">(((((B13)+(B19))+(B23))+(B34))+(B36))+(B37)</f>
        <v>#REF!</v>
      </c>
      <c r="C38" s="20" t="e">
        <f t="shared" si="6"/>
        <v>#REF!</v>
      </c>
      <c r="D38" s="20" t="e">
        <f t="shared" si="6"/>
        <v>#REF!</v>
      </c>
      <c r="E38" s="20" t="e">
        <f t="shared" si="6"/>
        <v>#REF!</v>
      </c>
      <c r="F38" s="20" t="e">
        <f t="shared" si="6"/>
        <v>#REF!</v>
      </c>
      <c r="G38" s="20" t="e">
        <f t="shared" si="6"/>
        <v>#REF!</v>
      </c>
      <c r="H38" s="20" t="e">
        <f t="shared" si="6"/>
        <v>#REF!</v>
      </c>
      <c r="I38" s="20" t="e">
        <f t="shared" si="6"/>
        <v>#REF!</v>
      </c>
      <c r="J38" s="20" t="e">
        <f t="shared" si="6"/>
        <v>#REF!</v>
      </c>
      <c r="K38" s="20" t="e">
        <f t="shared" si="6"/>
        <v>#REF!</v>
      </c>
      <c r="L38" s="20" t="e">
        <f t="shared" si="6"/>
        <v>#REF!</v>
      </c>
      <c r="M38" s="20" t="e">
        <f t="shared" si="6"/>
        <v>#REF!</v>
      </c>
      <c r="N38" s="20" t="e">
        <f t="shared" si="6"/>
        <v>#REF!</v>
      </c>
      <c r="O38" s="20">
        <f t="shared" si="6"/>
        <v>550702</v>
      </c>
      <c r="P38" s="20" t="e">
        <f>N38-O38</f>
        <v>#REF!</v>
      </c>
      <c r="Q38" s="24">
        <f>(((((Q13)+(Q19))+(Q23))+(Q34))+(Q36))+(Q37)</f>
        <v>0</v>
      </c>
      <c r="R38" s="27"/>
    </row>
    <row r="39" spans="1:18" ht="7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"/>
      <c r="R39" s="27"/>
    </row>
    <row r="40" spans="1:18">
      <c r="A40" s="1" t="s">
        <v>46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</row>
    <row r="41" spans="1:18">
      <c r="A41" s="1" t="s">
        <v>47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7"/>
    </row>
    <row r="42" spans="1:18">
      <c r="A42" s="4" t="s">
        <v>48</v>
      </c>
      <c r="B42" s="12">
        <f>115.12+98.66</f>
        <v>213.78</v>
      </c>
      <c r="C42" s="12">
        <f>325.16+70.9</f>
        <v>396.06000000000006</v>
      </c>
      <c r="D42" s="12">
        <f>89.52+96.99</f>
        <v>186.51</v>
      </c>
      <c r="E42" s="12">
        <f>68.54</f>
        <v>68.540000000000006</v>
      </c>
      <c r="F42" s="12">
        <f>65.95</f>
        <v>65.95</v>
      </c>
      <c r="G42" s="12">
        <f>69.15</f>
        <v>69.150000000000006</v>
      </c>
      <c r="H42" s="12">
        <f>103.49</f>
        <v>103.49</v>
      </c>
      <c r="I42" s="12">
        <f>601.04</f>
        <v>601.04</v>
      </c>
      <c r="J42" s="12">
        <v>75</v>
      </c>
      <c r="K42" s="12">
        <v>75</v>
      </c>
      <c r="L42" s="12">
        <v>75</v>
      </c>
      <c r="M42" s="12">
        <v>75</v>
      </c>
      <c r="N42" s="12">
        <f t="shared" ref="N42:N49" si="7">SUM(B42:M42)</f>
        <v>2004.52</v>
      </c>
      <c r="O42" s="12">
        <v>2107</v>
      </c>
      <c r="P42" s="12">
        <f>N42-O42</f>
        <v>-102.48000000000002</v>
      </c>
      <c r="Q42" s="12">
        <v>0</v>
      </c>
      <c r="R42" s="27"/>
    </row>
    <row r="43" spans="1:18">
      <c r="A43" s="4" t="s">
        <v>49</v>
      </c>
      <c r="B43" s="12">
        <v>750</v>
      </c>
      <c r="C43" s="12">
        <v>750</v>
      </c>
      <c r="D43" s="12">
        <v>750</v>
      </c>
      <c r="E43" s="12">
        <v>750</v>
      </c>
      <c r="F43" s="12">
        <v>750</v>
      </c>
      <c r="G43" s="12">
        <v>750</v>
      </c>
      <c r="H43" s="12">
        <v>750</v>
      </c>
      <c r="I43" s="12">
        <v>750</v>
      </c>
      <c r="J43" s="12">
        <v>750</v>
      </c>
      <c r="K43" s="12">
        <v>750</v>
      </c>
      <c r="L43" s="12">
        <v>750</v>
      </c>
      <c r="M43" s="12">
        <v>750</v>
      </c>
      <c r="N43" s="12">
        <f t="shared" si="7"/>
        <v>9000</v>
      </c>
      <c r="O43" s="12">
        <v>9540</v>
      </c>
      <c r="P43" s="12">
        <f t="shared" ref="P43:P50" si="8">N43-O43</f>
        <v>-540</v>
      </c>
      <c r="Q43" s="12">
        <v>0</v>
      </c>
      <c r="R43" s="27"/>
    </row>
    <row r="44" spans="1:18">
      <c r="A44" s="4" t="s">
        <v>50</v>
      </c>
      <c r="B44" s="12">
        <v>2000</v>
      </c>
      <c r="C44" s="12">
        <v>2000</v>
      </c>
      <c r="D44" s="12">
        <v>2000</v>
      </c>
      <c r="E44" s="12">
        <v>2000</v>
      </c>
      <c r="F44" s="12">
        <v>2000</v>
      </c>
      <c r="G44" s="12">
        <v>2000</v>
      </c>
      <c r="H44" s="12">
        <v>2000</v>
      </c>
      <c r="I44" s="12">
        <v>2000</v>
      </c>
      <c r="J44" s="12">
        <v>2000</v>
      </c>
      <c r="K44" s="12">
        <v>2000</v>
      </c>
      <c r="L44" s="12">
        <v>2000</v>
      </c>
      <c r="M44" s="12">
        <v>2000</v>
      </c>
      <c r="N44" s="12">
        <f t="shared" si="7"/>
        <v>24000</v>
      </c>
      <c r="O44" s="12">
        <v>19224</v>
      </c>
      <c r="P44" s="12">
        <f t="shared" si="8"/>
        <v>4776</v>
      </c>
      <c r="Q44" s="12">
        <v>0</v>
      </c>
      <c r="R44" s="27" t="s">
        <v>51</v>
      </c>
    </row>
    <row r="45" spans="1:18">
      <c r="A45" s="4" t="s">
        <v>52</v>
      </c>
      <c r="B45" s="12">
        <v>400</v>
      </c>
      <c r="C45" s="12">
        <v>400</v>
      </c>
      <c r="D45" s="12">
        <v>400</v>
      </c>
      <c r="E45" s="12">
        <v>400</v>
      </c>
      <c r="F45" s="12">
        <v>400</v>
      </c>
      <c r="G45" s="12">
        <v>400</v>
      </c>
      <c r="H45" s="12">
        <v>400</v>
      </c>
      <c r="I45" s="12">
        <v>400</v>
      </c>
      <c r="J45" s="12">
        <v>400</v>
      </c>
      <c r="K45" s="12">
        <v>400</v>
      </c>
      <c r="L45" s="12">
        <v>400</v>
      </c>
      <c r="M45" s="12">
        <v>400</v>
      </c>
      <c r="N45" s="12">
        <f t="shared" si="7"/>
        <v>4800</v>
      </c>
      <c r="O45" s="12">
        <v>2753</v>
      </c>
      <c r="P45" s="12">
        <f t="shared" si="8"/>
        <v>2047</v>
      </c>
      <c r="Q45" s="12">
        <v>0</v>
      </c>
      <c r="R45" s="27"/>
    </row>
    <row r="46" spans="1:18">
      <c r="A46" s="4" t="s">
        <v>53</v>
      </c>
      <c r="B46" s="12">
        <f>0</f>
        <v>0</v>
      </c>
      <c r="C46" s="12">
        <f>0</f>
        <v>0</v>
      </c>
      <c r="D46" s="12">
        <f>0</f>
        <v>0</v>
      </c>
      <c r="E46" s="12">
        <f>0</f>
        <v>0</v>
      </c>
      <c r="F46" s="12">
        <f>0</f>
        <v>0</v>
      </c>
      <c r="G46" s="12">
        <f>3007.51</f>
        <v>3007.51</v>
      </c>
      <c r="H46" s="12">
        <f>0</f>
        <v>0</v>
      </c>
      <c r="I46" s="12">
        <f>0</f>
        <v>0</v>
      </c>
      <c r="J46" s="12">
        <f>0</f>
        <v>0</v>
      </c>
      <c r="K46" s="12">
        <f>0</f>
        <v>0</v>
      </c>
      <c r="L46" s="12">
        <f>0</f>
        <v>0</v>
      </c>
      <c r="M46" s="12">
        <f>0</f>
        <v>0</v>
      </c>
      <c r="N46" s="12">
        <f t="shared" si="7"/>
        <v>3007.51</v>
      </c>
      <c r="O46" s="12">
        <v>3008</v>
      </c>
      <c r="P46" s="12">
        <f t="shared" si="8"/>
        <v>-0.48999999999978172</v>
      </c>
      <c r="Q46" s="12">
        <v>0</v>
      </c>
      <c r="R46" s="27"/>
    </row>
    <row r="47" spans="1:18">
      <c r="A47" s="4" t="s">
        <v>54</v>
      </c>
      <c r="B47" s="12">
        <v>1000</v>
      </c>
      <c r="C47" s="12">
        <v>1500</v>
      </c>
      <c r="D47" s="12">
        <v>1000</v>
      </c>
      <c r="E47" s="12">
        <v>1000</v>
      </c>
      <c r="F47" s="12">
        <v>1000</v>
      </c>
      <c r="G47" s="12">
        <v>1000</v>
      </c>
      <c r="H47" s="12">
        <v>1000</v>
      </c>
      <c r="I47" s="12">
        <v>1000</v>
      </c>
      <c r="J47" s="12">
        <v>1000</v>
      </c>
      <c r="K47" s="12">
        <v>1000</v>
      </c>
      <c r="L47" s="12">
        <v>1000</v>
      </c>
      <c r="M47" s="12">
        <v>1000</v>
      </c>
      <c r="N47" s="12">
        <f t="shared" si="7"/>
        <v>12500</v>
      </c>
      <c r="O47" s="12">
        <v>19287</v>
      </c>
      <c r="P47" s="12">
        <f t="shared" si="8"/>
        <v>-6787</v>
      </c>
      <c r="Q47" s="12">
        <v>0</v>
      </c>
      <c r="R47" s="27" t="s">
        <v>55</v>
      </c>
    </row>
    <row r="48" spans="1:18">
      <c r="A48" s="4" t="s">
        <v>56</v>
      </c>
      <c r="B48" s="12">
        <v>750</v>
      </c>
      <c r="C48" s="12">
        <v>750</v>
      </c>
      <c r="D48" s="12">
        <v>750</v>
      </c>
      <c r="E48" s="12">
        <v>750</v>
      </c>
      <c r="F48" s="12">
        <v>750</v>
      </c>
      <c r="G48" s="12">
        <v>750</v>
      </c>
      <c r="H48" s="12">
        <v>750</v>
      </c>
      <c r="I48" s="12">
        <v>750</v>
      </c>
      <c r="J48" s="12">
        <v>750</v>
      </c>
      <c r="K48" s="12">
        <v>750</v>
      </c>
      <c r="L48" s="12">
        <v>750</v>
      </c>
      <c r="M48" s="12">
        <v>750</v>
      </c>
      <c r="N48" s="12">
        <f t="shared" si="7"/>
        <v>9000</v>
      </c>
      <c r="O48" s="12">
        <v>4085</v>
      </c>
      <c r="P48" s="12">
        <f t="shared" si="8"/>
        <v>4915</v>
      </c>
      <c r="Q48" s="12">
        <v>0</v>
      </c>
      <c r="R48" s="27"/>
    </row>
    <row r="49" spans="1:18">
      <c r="A49" s="4" t="s">
        <v>57</v>
      </c>
      <c r="B49" s="12">
        <f>0</f>
        <v>0</v>
      </c>
      <c r="C49" s="12">
        <f>0</f>
        <v>0</v>
      </c>
      <c r="D49" s="12">
        <v>100</v>
      </c>
      <c r="E49" s="12">
        <v>650</v>
      </c>
      <c r="F49" s="12">
        <v>50</v>
      </c>
      <c r="G49" s="12">
        <f>0</f>
        <v>0</v>
      </c>
      <c r="H49" s="12">
        <v>50</v>
      </c>
      <c r="I49" s="12">
        <f>0</f>
        <v>0</v>
      </c>
      <c r="J49" s="12">
        <v>1000</v>
      </c>
      <c r="K49" s="12">
        <v>0</v>
      </c>
      <c r="L49" s="12">
        <f>0</f>
        <v>0</v>
      </c>
      <c r="M49" s="12">
        <v>1000</v>
      </c>
      <c r="N49" s="12">
        <f t="shared" si="7"/>
        <v>2850</v>
      </c>
      <c r="O49" s="12">
        <v>1752</v>
      </c>
      <c r="P49" s="12">
        <f t="shared" si="8"/>
        <v>1098</v>
      </c>
      <c r="Q49" s="12">
        <v>0</v>
      </c>
      <c r="R49" s="27"/>
    </row>
    <row r="50" spans="1:18">
      <c r="A50" s="32" t="s">
        <v>58</v>
      </c>
      <c r="B50" s="20">
        <f>SUM(B42:B49)</f>
        <v>5113.78</v>
      </c>
      <c r="C50" s="20">
        <f t="shared" ref="C50:O50" si="9">SUM(C42:C49)</f>
        <v>5796.0599999999995</v>
      </c>
      <c r="D50" s="20">
        <f t="shared" si="9"/>
        <v>5186.51</v>
      </c>
      <c r="E50" s="20">
        <f t="shared" si="9"/>
        <v>5618.54</v>
      </c>
      <c r="F50" s="20">
        <f t="shared" si="9"/>
        <v>5015.95</v>
      </c>
      <c r="G50" s="20">
        <f t="shared" si="9"/>
        <v>7976.66</v>
      </c>
      <c r="H50" s="20">
        <f t="shared" si="9"/>
        <v>5053.49</v>
      </c>
      <c r="I50" s="20">
        <f t="shared" si="9"/>
        <v>5501.04</v>
      </c>
      <c r="J50" s="20">
        <f t="shared" si="9"/>
        <v>5975</v>
      </c>
      <c r="K50" s="20">
        <f t="shared" si="9"/>
        <v>4975</v>
      </c>
      <c r="L50" s="20">
        <f t="shared" si="9"/>
        <v>4975</v>
      </c>
      <c r="M50" s="20">
        <f t="shared" si="9"/>
        <v>5975</v>
      </c>
      <c r="N50" s="20">
        <f t="shared" si="9"/>
        <v>67162.03</v>
      </c>
      <c r="O50" s="20">
        <f t="shared" si="9"/>
        <v>61756</v>
      </c>
      <c r="P50" s="20">
        <f t="shared" si="8"/>
        <v>5406.0299999999988</v>
      </c>
      <c r="Q50" s="20">
        <f>SUM(Q42:Q46)</f>
        <v>0</v>
      </c>
      <c r="R50" s="27"/>
    </row>
    <row r="51" spans="1:18" ht="6" customHeight="1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7"/>
    </row>
    <row r="52" spans="1:18">
      <c r="A52" s="1" t="s">
        <v>59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12"/>
      <c r="R52" s="27"/>
    </row>
    <row r="53" spans="1:18" s="29" customFormat="1">
      <c r="A53" s="4" t="s">
        <v>60</v>
      </c>
      <c r="B53" s="12">
        <v>1000</v>
      </c>
      <c r="C53" s="12">
        <v>1000</v>
      </c>
      <c r="D53" s="12">
        <v>1000</v>
      </c>
      <c r="E53" s="12">
        <v>1000</v>
      </c>
      <c r="F53" s="12">
        <v>1000</v>
      </c>
      <c r="G53" s="12">
        <v>2000</v>
      </c>
      <c r="H53" s="12">
        <v>2000</v>
      </c>
      <c r="I53" s="12">
        <v>2000</v>
      </c>
      <c r="J53" s="12">
        <v>1000</v>
      </c>
      <c r="K53" s="12">
        <v>1000</v>
      </c>
      <c r="L53" s="12">
        <v>1000</v>
      </c>
      <c r="M53" s="12">
        <v>1000</v>
      </c>
      <c r="N53" s="12">
        <f>SUM(B53:M53)</f>
        <v>15000</v>
      </c>
      <c r="O53" s="12">
        <v>7900</v>
      </c>
      <c r="P53" s="12">
        <f>N53-O53</f>
        <v>7100</v>
      </c>
      <c r="Q53" s="12">
        <v>0</v>
      </c>
      <c r="R53" s="27"/>
    </row>
    <row r="54" spans="1:18" s="29" customFormat="1">
      <c r="A54" s="4" t="s">
        <v>61</v>
      </c>
      <c r="B54" s="12">
        <v>400</v>
      </c>
      <c r="C54" s="12">
        <v>400</v>
      </c>
      <c r="D54" s="12">
        <v>400</v>
      </c>
      <c r="E54" s="12">
        <v>400</v>
      </c>
      <c r="F54" s="12">
        <v>400</v>
      </c>
      <c r="G54" s="12">
        <v>400</v>
      </c>
      <c r="H54" s="12">
        <v>400</v>
      </c>
      <c r="I54" s="12">
        <v>400</v>
      </c>
      <c r="J54" s="12">
        <v>400</v>
      </c>
      <c r="K54" s="12">
        <v>400</v>
      </c>
      <c r="L54" s="12">
        <v>400</v>
      </c>
      <c r="M54" s="12">
        <v>400</v>
      </c>
      <c r="N54" s="12">
        <f>SUM(B54:M54)</f>
        <v>4800</v>
      </c>
      <c r="O54" s="12">
        <v>32382</v>
      </c>
      <c r="P54" s="12">
        <f>N54-O54</f>
        <v>-27582</v>
      </c>
      <c r="Q54" s="12">
        <v>0</v>
      </c>
      <c r="R54" s="27"/>
    </row>
    <row r="55" spans="1:18" s="29" customFormat="1">
      <c r="A55" s="4" t="s">
        <v>62</v>
      </c>
      <c r="B55" s="12">
        <v>250</v>
      </c>
      <c r="C55" s="12">
        <v>250</v>
      </c>
      <c r="D55" s="12">
        <v>250</v>
      </c>
      <c r="E55" s="12">
        <v>250</v>
      </c>
      <c r="F55" s="12">
        <v>4000</v>
      </c>
      <c r="G55" s="12">
        <v>250</v>
      </c>
      <c r="H55" s="12">
        <v>250</v>
      </c>
      <c r="I55" s="12">
        <v>250</v>
      </c>
      <c r="J55" s="12">
        <v>250</v>
      </c>
      <c r="K55" s="12">
        <v>250</v>
      </c>
      <c r="L55" s="12">
        <v>250</v>
      </c>
      <c r="M55" s="12">
        <v>4000</v>
      </c>
      <c r="N55" s="12">
        <f>SUM(B55:M55)</f>
        <v>10500</v>
      </c>
      <c r="O55" s="12">
        <v>4703</v>
      </c>
      <c r="P55" s="12">
        <f>N55-O55</f>
        <v>5797</v>
      </c>
      <c r="Q55" s="12">
        <v>0</v>
      </c>
      <c r="R55" s="27"/>
    </row>
    <row r="56" spans="1:18">
      <c r="A56" s="4" t="s">
        <v>63</v>
      </c>
      <c r="B56" s="12">
        <f>0</f>
        <v>0</v>
      </c>
      <c r="C56" s="12">
        <f>0</f>
        <v>0</v>
      </c>
      <c r="D56" s="12">
        <f>0</f>
        <v>0</v>
      </c>
      <c r="E56" s="12">
        <v>500</v>
      </c>
      <c r="F56" s="12">
        <f>0</f>
        <v>0</v>
      </c>
      <c r="G56" s="12">
        <f>0</f>
        <v>0</v>
      </c>
      <c r="H56" s="12">
        <f>0</f>
        <v>0</v>
      </c>
      <c r="I56" s="12">
        <f>0</f>
        <v>0</v>
      </c>
      <c r="J56" s="12">
        <v>0</v>
      </c>
      <c r="K56" s="12">
        <v>500</v>
      </c>
      <c r="L56" s="12">
        <f>0</f>
        <v>0</v>
      </c>
      <c r="M56" s="12">
        <f>0</f>
        <v>0</v>
      </c>
      <c r="N56" s="12">
        <f>SUM(B56:M56)</f>
        <v>1000</v>
      </c>
      <c r="O56" s="12">
        <v>1072</v>
      </c>
      <c r="P56" s="12">
        <f>N56-O56</f>
        <v>-72</v>
      </c>
      <c r="Q56" s="12">
        <v>0</v>
      </c>
      <c r="R56" s="27"/>
    </row>
    <row r="57" spans="1:18">
      <c r="A57" s="32" t="s">
        <v>64</v>
      </c>
      <c r="B57" s="20">
        <f>SUM(B53:B56)</f>
        <v>1650</v>
      </c>
      <c r="C57" s="20">
        <f t="shared" ref="C57:O57" si="10">SUM(C53:C56)</f>
        <v>1650</v>
      </c>
      <c r="D57" s="20">
        <f t="shared" si="10"/>
        <v>1650</v>
      </c>
      <c r="E57" s="20">
        <f t="shared" si="10"/>
        <v>2150</v>
      </c>
      <c r="F57" s="20">
        <f t="shared" si="10"/>
        <v>5400</v>
      </c>
      <c r="G57" s="20">
        <f t="shared" si="10"/>
        <v>2650</v>
      </c>
      <c r="H57" s="20">
        <f t="shared" si="10"/>
        <v>2650</v>
      </c>
      <c r="I57" s="20">
        <f t="shared" si="10"/>
        <v>2650</v>
      </c>
      <c r="J57" s="20">
        <f t="shared" si="10"/>
        <v>1650</v>
      </c>
      <c r="K57" s="20">
        <f t="shared" si="10"/>
        <v>2150</v>
      </c>
      <c r="L57" s="20">
        <f t="shared" si="10"/>
        <v>1650</v>
      </c>
      <c r="M57" s="20">
        <f t="shared" si="10"/>
        <v>5400</v>
      </c>
      <c r="N57" s="20">
        <f t="shared" si="10"/>
        <v>31300</v>
      </c>
      <c r="O57" s="20">
        <f t="shared" si="10"/>
        <v>46057</v>
      </c>
      <c r="P57" s="20">
        <f>N57-O57</f>
        <v>-14757</v>
      </c>
      <c r="Q57" s="288"/>
      <c r="R57" s="288"/>
    </row>
    <row r="58" spans="1:18" ht="6" customHeight="1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7"/>
    </row>
    <row r="59" spans="1:18">
      <c r="A59" s="1" t="s">
        <v>65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7" t="s">
        <v>66</v>
      </c>
    </row>
    <row r="60" spans="1:18">
      <c r="A60" s="4" t="s">
        <v>67</v>
      </c>
      <c r="B60" s="12">
        <v>2000</v>
      </c>
      <c r="C60" s="12">
        <f>0</f>
        <v>0</v>
      </c>
      <c r="D60" s="12">
        <f>0</f>
        <v>0</v>
      </c>
      <c r="E60" s="12">
        <f>0</f>
        <v>0</v>
      </c>
      <c r="F60" s="12">
        <v>3000</v>
      </c>
      <c r="G60" s="12">
        <v>0</v>
      </c>
      <c r="H60" s="12">
        <f>0</f>
        <v>0</v>
      </c>
      <c r="I60" s="12">
        <f>0</f>
        <v>0</v>
      </c>
      <c r="J60" s="12">
        <v>5000</v>
      </c>
      <c r="K60" s="12">
        <v>0</v>
      </c>
      <c r="L60" s="12">
        <v>0</v>
      </c>
      <c r="M60" s="12">
        <f>0</f>
        <v>0</v>
      </c>
      <c r="N60" s="12">
        <f t="shared" ref="N60:N65" si="11">SUM(B60:M60)</f>
        <v>10000</v>
      </c>
      <c r="O60" s="12">
        <v>9690</v>
      </c>
      <c r="P60" s="12">
        <f>N60-O60</f>
        <v>310</v>
      </c>
      <c r="Q60" s="12">
        <v>0</v>
      </c>
      <c r="R60" s="27"/>
    </row>
    <row r="61" spans="1:18">
      <c r="A61" s="4" t="s">
        <v>68</v>
      </c>
      <c r="B61" s="12">
        <f>0</f>
        <v>0</v>
      </c>
      <c r="C61" s="12">
        <f>0</f>
        <v>0</v>
      </c>
      <c r="D61" s="12">
        <v>0</v>
      </c>
      <c r="E61" s="12">
        <f>0</f>
        <v>0</v>
      </c>
      <c r="F61" s="12">
        <f>0</f>
        <v>0</v>
      </c>
      <c r="G61" s="12">
        <f>0</f>
        <v>0</v>
      </c>
      <c r="H61" s="12">
        <f>0</f>
        <v>0</v>
      </c>
      <c r="I61" s="12">
        <v>500</v>
      </c>
      <c r="J61" s="12">
        <v>0</v>
      </c>
      <c r="K61" s="12">
        <v>0</v>
      </c>
      <c r="L61" s="12">
        <f>0</f>
        <v>0</v>
      </c>
      <c r="M61" s="12">
        <f>0</f>
        <v>0</v>
      </c>
      <c r="N61" s="12">
        <f t="shared" si="11"/>
        <v>500</v>
      </c>
      <c r="O61" s="12">
        <v>8589</v>
      </c>
      <c r="P61" s="12">
        <f t="shared" ref="P61:P66" si="12">N61-O61</f>
        <v>-8089</v>
      </c>
      <c r="Q61" s="12">
        <v>0</v>
      </c>
      <c r="R61" s="27"/>
    </row>
    <row r="62" spans="1:18">
      <c r="A62" s="4" t="s">
        <v>69</v>
      </c>
      <c r="B62" s="12">
        <f>0</f>
        <v>0</v>
      </c>
      <c r="C62" s="12">
        <f>0</f>
        <v>0</v>
      </c>
      <c r="D62" s="12">
        <f>0</f>
        <v>0</v>
      </c>
      <c r="E62" s="12">
        <v>4500</v>
      </c>
      <c r="F62" s="12">
        <v>2500</v>
      </c>
      <c r="G62" s="12">
        <f>0</f>
        <v>0</v>
      </c>
      <c r="H62" s="12">
        <f>0</f>
        <v>0</v>
      </c>
      <c r="I62" s="12">
        <v>0</v>
      </c>
      <c r="J62" s="12">
        <v>17000</v>
      </c>
      <c r="K62" s="12">
        <v>0</v>
      </c>
      <c r="L62" s="12">
        <f>0</f>
        <v>0</v>
      </c>
      <c r="M62" s="12">
        <f>0</f>
        <v>0</v>
      </c>
      <c r="N62" s="12">
        <f t="shared" si="11"/>
        <v>24000</v>
      </c>
      <c r="O62" s="12">
        <v>32422</v>
      </c>
      <c r="P62" s="12">
        <f t="shared" si="12"/>
        <v>-8422</v>
      </c>
      <c r="Q62" s="12">
        <v>0</v>
      </c>
      <c r="R62" s="27"/>
    </row>
    <row r="63" spans="1:18">
      <c r="A63" s="4" t="s">
        <v>70</v>
      </c>
      <c r="B63" s="12">
        <f>0</f>
        <v>0</v>
      </c>
      <c r="C63" s="12">
        <f>0</f>
        <v>0</v>
      </c>
      <c r="D63" s="12">
        <f>0</f>
        <v>0</v>
      </c>
      <c r="E63" s="12">
        <f>0</f>
        <v>0</v>
      </c>
      <c r="F63" s="12">
        <f>0</f>
        <v>0</v>
      </c>
      <c r="G63" s="12">
        <f>0</f>
        <v>0</v>
      </c>
      <c r="H63" s="12">
        <f>0</f>
        <v>0</v>
      </c>
      <c r="I63" s="12">
        <v>1200</v>
      </c>
      <c r="J63" s="12">
        <v>7200</v>
      </c>
      <c r="K63" s="12">
        <v>7600</v>
      </c>
      <c r="L63" s="12">
        <f>0</f>
        <v>0</v>
      </c>
      <c r="M63" s="12">
        <f>0</f>
        <v>0</v>
      </c>
      <c r="N63" s="12">
        <f t="shared" si="11"/>
        <v>16000</v>
      </c>
      <c r="O63" s="12">
        <v>0</v>
      </c>
      <c r="P63" s="12">
        <f t="shared" si="12"/>
        <v>16000</v>
      </c>
      <c r="Q63" s="12">
        <v>0</v>
      </c>
      <c r="R63" s="27"/>
    </row>
    <row r="64" spans="1:18">
      <c r="A64" s="4" t="s">
        <v>71</v>
      </c>
      <c r="B64" s="12">
        <f>0</f>
        <v>0</v>
      </c>
      <c r="C64" s="12">
        <f>0</f>
        <v>0</v>
      </c>
      <c r="D64" s="12">
        <f>0</f>
        <v>0</v>
      </c>
      <c r="E64" s="12">
        <f>0</f>
        <v>0</v>
      </c>
      <c r="F64" s="12">
        <f>0</f>
        <v>0</v>
      </c>
      <c r="G64" s="12">
        <f>0</f>
        <v>0</v>
      </c>
      <c r="H64" s="12">
        <f>0</f>
        <v>0</v>
      </c>
      <c r="I64" s="12">
        <v>1000</v>
      </c>
      <c r="J64" s="12">
        <v>15000</v>
      </c>
      <c r="K64" s="12">
        <v>12000</v>
      </c>
      <c r="L64" s="12">
        <f>0</f>
        <v>0</v>
      </c>
      <c r="M64" s="12">
        <f>0</f>
        <v>0</v>
      </c>
      <c r="N64" s="12">
        <f t="shared" si="11"/>
        <v>28000</v>
      </c>
      <c r="O64" s="12">
        <v>13340</v>
      </c>
      <c r="P64" s="12">
        <f t="shared" si="12"/>
        <v>14660</v>
      </c>
      <c r="Q64" s="12">
        <v>0</v>
      </c>
      <c r="R64" s="27"/>
    </row>
    <row r="65" spans="1:18">
      <c r="A65" s="4" t="s">
        <v>72</v>
      </c>
      <c r="B65" s="12">
        <f>0</f>
        <v>0</v>
      </c>
      <c r="C65" s="12">
        <f>0</f>
        <v>0</v>
      </c>
      <c r="D65" s="12">
        <f>0</f>
        <v>0</v>
      </c>
      <c r="E65" s="12">
        <f>0</f>
        <v>0</v>
      </c>
      <c r="F65" s="12">
        <f>0</f>
        <v>0</v>
      </c>
      <c r="G65" s="12">
        <f>0</f>
        <v>0</v>
      </c>
      <c r="H65" s="12">
        <f>0</f>
        <v>0</v>
      </c>
      <c r="I65" s="12">
        <f>0</f>
        <v>0</v>
      </c>
      <c r="J65" s="12">
        <v>8000</v>
      </c>
      <c r="K65" s="12">
        <f>0</f>
        <v>0</v>
      </c>
      <c r="L65" s="12">
        <f>0</f>
        <v>0</v>
      </c>
      <c r="M65" s="12">
        <f>0</f>
        <v>0</v>
      </c>
      <c r="N65" s="12">
        <f t="shared" si="11"/>
        <v>8000</v>
      </c>
      <c r="O65" s="12">
        <v>5816</v>
      </c>
      <c r="P65" s="12">
        <f t="shared" si="12"/>
        <v>2184</v>
      </c>
      <c r="Q65" s="12">
        <v>0</v>
      </c>
      <c r="R65" s="27"/>
    </row>
    <row r="66" spans="1:18">
      <c r="A66" s="4" t="s">
        <v>73</v>
      </c>
      <c r="B66" s="12">
        <f>0</f>
        <v>0</v>
      </c>
      <c r="C66" s="12">
        <f>0</f>
        <v>0</v>
      </c>
      <c r="D66" s="12">
        <f>0</f>
        <v>0</v>
      </c>
      <c r="E66" s="12">
        <f>0</f>
        <v>0</v>
      </c>
      <c r="F66" s="12">
        <f>0</f>
        <v>0</v>
      </c>
      <c r="G66" s="12">
        <v>0</v>
      </c>
      <c r="H66" s="12">
        <v>4000</v>
      </c>
      <c r="I66" s="12">
        <v>4000</v>
      </c>
      <c r="J66" s="12">
        <v>4500</v>
      </c>
      <c r="K66" s="12">
        <f>0</f>
        <v>0</v>
      </c>
      <c r="L66" s="12">
        <f>0</f>
        <v>0</v>
      </c>
      <c r="M66" s="12">
        <f>0</f>
        <v>0</v>
      </c>
      <c r="N66" s="12">
        <f>SUM(B66:M66)</f>
        <v>12500</v>
      </c>
      <c r="O66" s="12">
        <v>5490</v>
      </c>
      <c r="P66" s="12">
        <f t="shared" si="12"/>
        <v>7010</v>
      </c>
      <c r="Q66" s="12">
        <v>0</v>
      </c>
      <c r="R66" s="27"/>
    </row>
    <row r="67" spans="1:18">
      <c r="A67" s="1" t="s">
        <v>74</v>
      </c>
      <c r="B67" s="20">
        <f>SUM(B60:B66)</f>
        <v>2000</v>
      </c>
      <c r="C67" s="20">
        <f t="shared" ref="C67:M67" si="13">SUM(C60:C66)</f>
        <v>0</v>
      </c>
      <c r="D67" s="20">
        <f t="shared" si="13"/>
        <v>0</v>
      </c>
      <c r="E67" s="20">
        <f t="shared" si="13"/>
        <v>4500</v>
      </c>
      <c r="F67" s="20">
        <f t="shared" si="13"/>
        <v>5500</v>
      </c>
      <c r="G67" s="20">
        <f t="shared" si="13"/>
        <v>0</v>
      </c>
      <c r="H67" s="20">
        <f t="shared" si="13"/>
        <v>4000</v>
      </c>
      <c r="I67" s="20">
        <f t="shared" si="13"/>
        <v>6700</v>
      </c>
      <c r="J67" s="20">
        <f t="shared" si="13"/>
        <v>56700</v>
      </c>
      <c r="K67" s="20">
        <f t="shared" si="13"/>
        <v>19600</v>
      </c>
      <c r="L67" s="20">
        <f t="shared" si="13"/>
        <v>0</v>
      </c>
      <c r="M67" s="20">
        <f t="shared" si="13"/>
        <v>0</v>
      </c>
      <c r="N67" s="20">
        <f>SUM(N60:N66)</f>
        <v>99000</v>
      </c>
      <c r="O67" s="20">
        <f>SUM(O60:O66)</f>
        <v>75347</v>
      </c>
      <c r="P67" s="20">
        <f>N67-O67</f>
        <v>23653</v>
      </c>
      <c r="Q67" s="20">
        <f>SUM(Q60:Q66)</f>
        <v>0</v>
      </c>
      <c r="R67" s="27" t="s">
        <v>75</v>
      </c>
    </row>
    <row r="68" spans="1:18" ht="6" customHeight="1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7"/>
    </row>
    <row r="69" spans="1:18">
      <c r="A69" s="1" t="s">
        <v>76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</row>
    <row r="70" spans="1:18">
      <c r="A70" s="4" t="s">
        <v>77</v>
      </c>
      <c r="B70" s="12">
        <v>50</v>
      </c>
      <c r="C70" s="12">
        <v>0</v>
      </c>
      <c r="D70" s="12">
        <v>0</v>
      </c>
      <c r="E70" s="12">
        <v>50</v>
      </c>
      <c r="F70" s="12">
        <v>0</v>
      </c>
      <c r="G70" s="12">
        <v>0</v>
      </c>
      <c r="H70" s="12">
        <v>0</v>
      </c>
      <c r="I70" s="12">
        <v>50</v>
      </c>
      <c r="J70" s="12">
        <v>0</v>
      </c>
      <c r="K70" s="12">
        <v>50</v>
      </c>
      <c r="L70" s="12">
        <v>0</v>
      </c>
      <c r="M70" s="12">
        <v>0</v>
      </c>
      <c r="N70" s="12">
        <f>SUM(B70:M70)</f>
        <v>200</v>
      </c>
      <c r="O70" s="12">
        <v>600</v>
      </c>
      <c r="P70" s="12">
        <f>N70-O70</f>
        <v>-400</v>
      </c>
      <c r="Q70" s="12">
        <v>0</v>
      </c>
      <c r="R70" s="288"/>
    </row>
    <row r="71" spans="1:18" s="29" customFormat="1">
      <c r="A71" s="4" t="s">
        <v>78</v>
      </c>
      <c r="B71" s="28">
        <f>0</f>
        <v>0</v>
      </c>
      <c r="C71" s="28">
        <v>10000</v>
      </c>
      <c r="D71" s="28">
        <v>0</v>
      </c>
      <c r="E71" s="28">
        <f>0</f>
        <v>0</v>
      </c>
      <c r="F71" s="28">
        <f>0</f>
        <v>0</v>
      </c>
      <c r="G71" s="12">
        <f>0</f>
        <v>0</v>
      </c>
      <c r="H71" s="12">
        <f>0</f>
        <v>0</v>
      </c>
      <c r="I71" s="12">
        <f>0</f>
        <v>0</v>
      </c>
      <c r="J71" s="12">
        <v>2000</v>
      </c>
      <c r="K71" s="12">
        <v>0</v>
      </c>
      <c r="L71" s="12">
        <f>0</f>
        <v>0</v>
      </c>
      <c r="M71" s="12">
        <f>0</f>
        <v>0</v>
      </c>
      <c r="N71" s="12">
        <f>SUM(B71:M71)</f>
        <v>12000</v>
      </c>
      <c r="O71" s="12">
        <v>909</v>
      </c>
      <c r="P71" s="12">
        <f>N71-O71</f>
        <v>11091</v>
      </c>
      <c r="Q71" s="12">
        <v>0</v>
      </c>
      <c r="R71" s="27" t="s">
        <v>79</v>
      </c>
    </row>
    <row r="72" spans="1:18">
      <c r="A72" s="69" t="s">
        <v>80</v>
      </c>
      <c r="B72" s="20">
        <f>SUM(B70:B71)</f>
        <v>50</v>
      </c>
      <c r="C72" s="20">
        <f t="shared" ref="C72:Q72" si="14">SUM(C70:C71)</f>
        <v>10000</v>
      </c>
      <c r="D72" s="20">
        <f t="shared" si="14"/>
        <v>0</v>
      </c>
      <c r="E72" s="20">
        <f t="shared" si="14"/>
        <v>50</v>
      </c>
      <c r="F72" s="20">
        <f t="shared" si="14"/>
        <v>0</v>
      </c>
      <c r="G72" s="20">
        <f t="shared" si="14"/>
        <v>0</v>
      </c>
      <c r="H72" s="20">
        <f t="shared" si="14"/>
        <v>0</v>
      </c>
      <c r="I72" s="20">
        <f t="shared" si="14"/>
        <v>50</v>
      </c>
      <c r="J72" s="20">
        <f t="shared" si="14"/>
        <v>2000</v>
      </c>
      <c r="K72" s="20">
        <f t="shared" si="14"/>
        <v>50</v>
      </c>
      <c r="L72" s="20">
        <f t="shared" si="14"/>
        <v>0</v>
      </c>
      <c r="M72" s="20">
        <f t="shared" si="14"/>
        <v>0</v>
      </c>
      <c r="N72" s="20">
        <f t="shared" si="14"/>
        <v>12200</v>
      </c>
      <c r="O72" s="20">
        <f t="shared" si="14"/>
        <v>1509</v>
      </c>
      <c r="P72" s="20">
        <f t="shared" si="14"/>
        <v>10691</v>
      </c>
      <c r="Q72" s="20">
        <f t="shared" si="14"/>
        <v>0</v>
      </c>
      <c r="R72" s="288"/>
    </row>
    <row r="73" spans="1:18" ht="6" customHeight="1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7"/>
    </row>
    <row r="74" spans="1:18">
      <c r="A74" s="70" t="s">
        <v>81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12"/>
      <c r="O74" s="12"/>
      <c r="P74" s="12"/>
      <c r="Q74" s="12"/>
      <c r="R74" s="27" t="s">
        <v>82</v>
      </c>
    </row>
    <row r="75" spans="1:18" s="29" customFormat="1">
      <c r="A75" s="72" t="s">
        <v>83</v>
      </c>
      <c r="B75" s="71">
        <f>'StartNew Revenue &amp; Costs'!B9+'StartNew Revenue &amp; Costs'!B10</f>
        <v>2540</v>
      </c>
      <c r="C75" s="71">
        <f>'StartNew Revenue &amp; Costs'!C9+'StartNew Revenue &amp; Costs'!C10</f>
        <v>0</v>
      </c>
      <c r="D75" s="71">
        <f>'StartNew Revenue &amp; Costs'!D9+'StartNew Revenue &amp; Costs'!D10</f>
        <v>1670</v>
      </c>
      <c r="E75" s="71">
        <f>'StartNew Revenue &amp; Costs'!E9+'StartNew Revenue &amp; Costs'!E10</f>
        <v>0</v>
      </c>
      <c r="F75" s="71">
        <f>'StartNew Revenue &amp; Costs'!F9+'StartNew Revenue &amp; Costs'!F10</f>
        <v>0</v>
      </c>
      <c r="G75" s="71">
        <f>'StartNew Revenue &amp; Costs'!G9+'StartNew Revenue &amp; Costs'!G10</f>
        <v>0</v>
      </c>
      <c r="H75" s="71">
        <f>'StartNew Revenue &amp; Costs'!H9+'StartNew Revenue &amp; Costs'!H10</f>
        <v>870</v>
      </c>
      <c r="I75" s="71">
        <f>'StartNew Revenue &amp; Costs'!I9+'StartNew Revenue &amp; Costs'!I10</f>
        <v>0</v>
      </c>
      <c r="J75" s="71">
        <f>'StartNew Revenue &amp; Costs'!J9+'StartNew Revenue &amp; Costs'!J10</f>
        <v>0</v>
      </c>
      <c r="K75" s="71">
        <f>'StartNew Revenue &amp; Costs'!K9+'StartNew Revenue &amp; Costs'!K10</f>
        <v>2175</v>
      </c>
      <c r="L75" s="71">
        <f>'StartNew Revenue &amp; Costs'!L9+'StartNew Revenue &amp; Costs'!L10</f>
        <v>0</v>
      </c>
      <c r="M75" s="71">
        <f>'StartNew Revenue &amp; Costs'!M9+'StartNew Revenue &amp; Costs'!M10</f>
        <v>0</v>
      </c>
      <c r="N75" s="12">
        <f>SUM(B75:M75)</f>
        <v>7255</v>
      </c>
      <c r="O75" s="12">
        <f>SUM(B75:M75)</f>
        <v>7255</v>
      </c>
      <c r="P75" s="12">
        <f>N75-O75</f>
        <v>0</v>
      </c>
      <c r="Q75" s="12">
        <v>0</v>
      </c>
      <c r="R75" s="288"/>
    </row>
    <row r="76" spans="1:18">
      <c r="A76" s="72" t="s">
        <v>84</v>
      </c>
      <c r="B76" s="71">
        <f>'StartNew Revenue &amp; Costs'!B11+'StartNew Revenue &amp; Costs'!B18</f>
        <v>2050</v>
      </c>
      <c r="C76" s="71">
        <f>'StartNew Revenue &amp; Costs'!C11+'StartNew Revenue &amp; Costs'!C18</f>
        <v>1650</v>
      </c>
      <c r="D76" s="71">
        <f>'StartNew Revenue &amp; Costs'!D11+'StartNew Revenue &amp; Costs'!D18</f>
        <v>1550</v>
      </c>
      <c r="E76" s="71">
        <f>'StartNew Revenue &amp; Costs'!E11+'StartNew Revenue &amp; Costs'!E18</f>
        <v>1350</v>
      </c>
      <c r="F76" s="71">
        <f>'StartNew Revenue &amp; Costs'!F11+'StartNew Revenue &amp; Costs'!F18</f>
        <v>1350</v>
      </c>
      <c r="G76" s="71">
        <f>'StartNew Revenue &amp; Costs'!G11+'StartNew Revenue &amp; Costs'!G18</f>
        <v>1350</v>
      </c>
      <c r="H76" s="71">
        <f>'StartNew Revenue &amp; Costs'!H11+'StartNew Revenue &amp; Costs'!H18</f>
        <v>1850</v>
      </c>
      <c r="I76" s="71">
        <f>'StartNew Revenue &amp; Costs'!I11+'StartNew Revenue &amp; Costs'!I18</f>
        <v>1650</v>
      </c>
      <c r="J76" s="71">
        <f>'StartNew Revenue &amp; Costs'!J11+'StartNew Revenue &amp; Costs'!J18</f>
        <v>1050</v>
      </c>
      <c r="K76" s="71">
        <f>'StartNew Revenue &amp; Costs'!K11+'StartNew Revenue &amp; Costs'!K18</f>
        <v>1800</v>
      </c>
      <c r="L76" s="71">
        <f>'StartNew Revenue &amp; Costs'!L11+'StartNew Revenue &amp; Costs'!L18</f>
        <v>1500</v>
      </c>
      <c r="M76" s="71">
        <f>'StartNew Revenue &amp; Costs'!M11+'StartNew Revenue &amp; Costs'!M18</f>
        <v>1500</v>
      </c>
      <c r="N76" s="12">
        <f>SUM(B76:M76)</f>
        <v>18650</v>
      </c>
      <c r="O76" s="12">
        <v>18557</v>
      </c>
      <c r="P76" s="12">
        <f>N76-O76</f>
        <v>93</v>
      </c>
      <c r="Q76" s="12">
        <v>0</v>
      </c>
      <c r="R76" s="288"/>
    </row>
    <row r="77" spans="1:18" s="29" customFormat="1">
      <c r="A77" s="72" t="s">
        <v>85</v>
      </c>
      <c r="B77" s="71">
        <f>'StartNew Revenue &amp; Costs'!B19</f>
        <v>2100</v>
      </c>
      <c r="C77" s="71">
        <f>'StartNew Revenue &amp; Costs'!C19</f>
        <v>2100</v>
      </c>
      <c r="D77" s="71">
        <f>'StartNew Revenue &amp; Costs'!D19</f>
        <v>2100</v>
      </c>
      <c r="E77" s="71">
        <f>'StartNew Revenue &amp; Costs'!E19</f>
        <v>0</v>
      </c>
      <c r="F77" s="71">
        <f>'StartNew Revenue &amp; Costs'!F19</f>
        <v>0</v>
      </c>
      <c r="G77" s="71">
        <f>'StartNew Revenue &amp; Costs'!G19</f>
        <v>0</v>
      </c>
      <c r="H77" s="71">
        <f>'StartNew Revenue &amp; Costs'!H19</f>
        <v>0</v>
      </c>
      <c r="I77" s="71">
        <f>'StartNew Revenue &amp; Costs'!I19</f>
        <v>0</v>
      </c>
      <c r="J77" s="71">
        <f>'StartNew Revenue &amp; Costs'!J19</f>
        <v>0</v>
      </c>
      <c r="K77" s="71">
        <f>'StartNew Revenue &amp; Costs'!K19</f>
        <v>0</v>
      </c>
      <c r="L77" s="71">
        <f>'StartNew Revenue &amp; Costs'!L19</f>
        <v>0</v>
      </c>
      <c r="M77" s="71">
        <f>'StartNew Revenue &amp; Costs'!M19</f>
        <v>2100</v>
      </c>
      <c r="N77" s="12">
        <f>SUM(B77:M77)</f>
        <v>8400</v>
      </c>
      <c r="O77" s="12">
        <v>17887</v>
      </c>
      <c r="P77" s="12">
        <f t="shared" ref="P77:P83" si="15">N77-O77</f>
        <v>-9487</v>
      </c>
      <c r="Q77" s="12">
        <v>0</v>
      </c>
      <c r="R77" s="288"/>
    </row>
    <row r="78" spans="1:18" s="29" customFormat="1">
      <c r="A78" s="72" t="s">
        <v>86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12"/>
      <c r="O78" s="12">
        <v>28214</v>
      </c>
      <c r="P78" s="12">
        <f t="shared" si="15"/>
        <v>-28214</v>
      </c>
      <c r="Q78" s="12">
        <v>0</v>
      </c>
      <c r="R78" s="288"/>
    </row>
    <row r="79" spans="1:18" s="29" customFormat="1">
      <c r="A79" s="72" t="s">
        <v>87</v>
      </c>
      <c r="B79" s="71">
        <f>'StartNew Revenue &amp; Costs'!B13</f>
        <v>0</v>
      </c>
      <c r="C79" s="71">
        <f>'StartNew Revenue &amp; Costs'!C13</f>
        <v>500</v>
      </c>
      <c r="D79" s="71">
        <f>'StartNew Revenue &amp; Costs'!D13</f>
        <v>0</v>
      </c>
      <c r="E79" s="71">
        <f>'StartNew Revenue &amp; Costs'!E13</f>
        <v>500</v>
      </c>
      <c r="F79" s="71">
        <f>'StartNew Revenue &amp; Costs'!F13</f>
        <v>0</v>
      </c>
      <c r="G79" s="71">
        <f>'StartNew Revenue &amp; Costs'!G13</f>
        <v>0</v>
      </c>
      <c r="H79" s="71">
        <f>'StartNew Revenue &amp; Costs'!H13</f>
        <v>0</v>
      </c>
      <c r="I79" s="71">
        <f>'StartNew Revenue &amp; Costs'!I13</f>
        <v>500</v>
      </c>
      <c r="J79" s="71">
        <f>'StartNew Revenue &amp; Costs'!J13</f>
        <v>0</v>
      </c>
      <c r="K79" s="71">
        <f>'StartNew Revenue &amp; Costs'!K13</f>
        <v>0</v>
      </c>
      <c r="L79" s="71">
        <f>'StartNew Revenue &amp; Costs'!L13</f>
        <v>500</v>
      </c>
      <c r="M79" s="71">
        <f>'StartNew Revenue &amp; Costs'!M13</f>
        <v>0</v>
      </c>
      <c r="N79" s="12">
        <f>SUM(B79:M79)</f>
        <v>2000</v>
      </c>
      <c r="O79" s="12">
        <v>0</v>
      </c>
      <c r="P79" s="12">
        <f t="shared" si="15"/>
        <v>2000</v>
      </c>
      <c r="Q79" s="12">
        <v>0</v>
      </c>
      <c r="R79" s="288"/>
    </row>
    <row r="80" spans="1:18">
      <c r="A80" s="72" t="s">
        <v>88</v>
      </c>
      <c r="B80" s="71" t="e">
        <f>'StartNew Revenue &amp; Costs'!#REF!</f>
        <v>#REF!</v>
      </c>
      <c r="C80" s="71" t="e">
        <f>'StartNew Revenue &amp; Costs'!#REF!</f>
        <v>#REF!</v>
      </c>
      <c r="D80" s="71" t="e">
        <f>'StartNew Revenue &amp; Costs'!#REF!</f>
        <v>#REF!</v>
      </c>
      <c r="E80" s="71" t="e">
        <f>'StartNew Revenue &amp; Costs'!#REF!</f>
        <v>#REF!</v>
      </c>
      <c r="F80" s="71" t="e">
        <f>'StartNew Revenue &amp; Costs'!#REF!</f>
        <v>#REF!</v>
      </c>
      <c r="G80" s="71" t="e">
        <f>'StartNew Revenue &amp; Costs'!#REF!</f>
        <v>#REF!</v>
      </c>
      <c r="H80" s="71" t="e">
        <f>'StartNew Revenue &amp; Costs'!#REF!</f>
        <v>#REF!</v>
      </c>
      <c r="I80" s="71" t="e">
        <f>'StartNew Revenue &amp; Costs'!#REF!</f>
        <v>#REF!</v>
      </c>
      <c r="J80" s="71" t="e">
        <f>'StartNew Revenue &amp; Costs'!#REF!</f>
        <v>#REF!</v>
      </c>
      <c r="K80" s="71" t="e">
        <f>'StartNew Revenue &amp; Costs'!#REF!</f>
        <v>#REF!</v>
      </c>
      <c r="L80" s="71" t="e">
        <f>'StartNew Revenue &amp; Costs'!#REF!</f>
        <v>#REF!</v>
      </c>
      <c r="M80" s="71" t="e">
        <f>'StartNew Revenue &amp; Costs'!#REF!</f>
        <v>#REF!</v>
      </c>
      <c r="N80" s="12" t="e">
        <f>SUM(B80:M80)</f>
        <v>#REF!</v>
      </c>
      <c r="O80" s="12">
        <v>0</v>
      </c>
      <c r="P80" s="12" t="e">
        <f t="shared" si="15"/>
        <v>#REF!</v>
      </c>
      <c r="Q80" s="12">
        <v>0</v>
      </c>
      <c r="R80" s="288"/>
    </row>
    <row r="81" spans="1:18">
      <c r="A81" s="72" t="s">
        <v>89</v>
      </c>
      <c r="B81" s="71">
        <f>'StartNew Revenue &amp; Costs'!B14+'StartNew Revenue &amp; Costs'!B15</f>
        <v>0</v>
      </c>
      <c r="C81" s="71" t="e">
        <f>'StartNew Revenue &amp; Costs'!C14+'StartNew Revenue &amp; Costs'!C15</f>
        <v>#REF!</v>
      </c>
      <c r="D81" s="71">
        <f>'StartNew Revenue &amp; Costs'!D14+'StartNew Revenue &amp; Costs'!D15</f>
        <v>0</v>
      </c>
      <c r="E81" s="71" t="e">
        <f>'StartNew Revenue &amp; Costs'!E14+'StartNew Revenue &amp; Costs'!E15</f>
        <v>#REF!</v>
      </c>
      <c r="F81" s="71">
        <f>'StartNew Revenue &amp; Costs'!F14+'StartNew Revenue &amp; Costs'!F15</f>
        <v>0</v>
      </c>
      <c r="G81" s="71">
        <f>'StartNew Revenue &amp; Costs'!G14+'StartNew Revenue &amp; Costs'!G15</f>
        <v>0</v>
      </c>
      <c r="H81" s="71">
        <f>'StartNew Revenue &amp; Costs'!H14+'StartNew Revenue &amp; Costs'!H15</f>
        <v>0</v>
      </c>
      <c r="I81" s="71" t="e">
        <f>'StartNew Revenue &amp; Costs'!I14+'StartNew Revenue &amp; Costs'!I15</f>
        <v>#REF!</v>
      </c>
      <c r="J81" s="71">
        <f>'StartNew Revenue &amp; Costs'!J14+'StartNew Revenue &amp; Costs'!J15</f>
        <v>0</v>
      </c>
      <c r="K81" s="71">
        <f>'StartNew Revenue &amp; Costs'!K14+'StartNew Revenue &amp; Costs'!K15</f>
        <v>0</v>
      </c>
      <c r="L81" s="71" t="e">
        <f>'StartNew Revenue &amp; Costs'!L14+'StartNew Revenue &amp; Costs'!L15</f>
        <v>#REF!</v>
      </c>
      <c r="M81" s="71">
        <f>'StartNew Revenue &amp; Costs'!M14+'StartNew Revenue &amp; Costs'!M15</f>
        <v>0</v>
      </c>
      <c r="N81" s="12" t="e">
        <f>SUM(B81:M81)</f>
        <v>#REF!</v>
      </c>
      <c r="O81" s="12">
        <v>0</v>
      </c>
      <c r="P81" s="12" t="e">
        <f t="shared" si="15"/>
        <v>#REF!</v>
      </c>
      <c r="Q81" s="12">
        <v>0</v>
      </c>
      <c r="R81" s="27"/>
    </row>
    <row r="82" spans="1:18">
      <c r="A82" s="72" t="s">
        <v>90</v>
      </c>
      <c r="B82" s="71">
        <f>'StartNew Revenue &amp; Costs'!B16+'StartNew Revenue &amp; Costs'!B22</f>
        <v>0</v>
      </c>
      <c r="C82" s="71" t="e">
        <f>'StartNew Revenue &amp; Costs'!C16+'StartNew Revenue &amp; Costs'!C22</f>
        <v>#REF!</v>
      </c>
      <c r="D82" s="71">
        <f>'StartNew Revenue &amp; Costs'!D16+'StartNew Revenue &amp; Costs'!D22</f>
        <v>0</v>
      </c>
      <c r="E82" s="71">
        <f>'StartNew Revenue &amp; Costs'!E16+'StartNew Revenue &amp; Costs'!E22</f>
        <v>600</v>
      </c>
      <c r="F82" s="71">
        <f>'StartNew Revenue &amp; Costs'!F16+'StartNew Revenue &amp; Costs'!F22</f>
        <v>0</v>
      </c>
      <c r="G82" s="71">
        <f>'StartNew Revenue &amp; Costs'!G16+'StartNew Revenue &amp; Costs'!G22</f>
        <v>0</v>
      </c>
      <c r="H82" s="71">
        <f>'StartNew Revenue &amp; Costs'!H16+'StartNew Revenue &amp; Costs'!H22</f>
        <v>0</v>
      </c>
      <c r="I82" s="71" t="e">
        <f>'StartNew Revenue &amp; Costs'!I16+'StartNew Revenue &amp; Costs'!I22</f>
        <v>#REF!</v>
      </c>
      <c r="J82" s="71">
        <f>'StartNew Revenue &amp; Costs'!J16+'StartNew Revenue &amp; Costs'!J22</f>
        <v>0</v>
      </c>
      <c r="K82" s="71">
        <f>'StartNew Revenue &amp; Costs'!K16+'StartNew Revenue &amp; Costs'!K22</f>
        <v>0</v>
      </c>
      <c r="L82" s="71">
        <f>'StartNew Revenue &amp; Costs'!L16+'StartNew Revenue &amp; Costs'!L22</f>
        <v>1680</v>
      </c>
      <c r="M82" s="71">
        <f>'StartNew Revenue &amp; Costs'!M16+'StartNew Revenue &amp; Costs'!M22</f>
        <v>0</v>
      </c>
      <c r="N82" s="12" t="e">
        <f>SUM(B82:M82)</f>
        <v>#REF!</v>
      </c>
      <c r="O82" s="12">
        <v>0</v>
      </c>
      <c r="P82" s="12" t="e">
        <f t="shared" si="15"/>
        <v>#REF!</v>
      </c>
      <c r="Q82" s="12">
        <v>0</v>
      </c>
      <c r="R82" s="27"/>
    </row>
    <row r="83" spans="1:18">
      <c r="A83" s="72" t="s">
        <v>91</v>
      </c>
      <c r="B83" s="71">
        <f>'StartNew Revenue &amp; Costs'!B17+'StartNew Revenue &amp; Costs'!B23</f>
        <v>0</v>
      </c>
      <c r="C83" s="71" t="e">
        <f>'StartNew Revenue &amp; Costs'!C17+'StartNew Revenue &amp; Costs'!C23</f>
        <v>#REF!</v>
      </c>
      <c r="D83" s="71">
        <f>'StartNew Revenue &amp; Costs'!D17+'StartNew Revenue &amp; Costs'!D23</f>
        <v>0</v>
      </c>
      <c r="E83" s="71">
        <f>'StartNew Revenue &amp; Costs'!E17+'StartNew Revenue &amp; Costs'!E23</f>
        <v>300</v>
      </c>
      <c r="F83" s="71">
        <f>'StartNew Revenue &amp; Costs'!F17+'StartNew Revenue &amp; Costs'!F23</f>
        <v>0</v>
      </c>
      <c r="G83" s="71">
        <f>'StartNew Revenue &amp; Costs'!G17+'StartNew Revenue &amp; Costs'!G23</f>
        <v>0</v>
      </c>
      <c r="H83" s="71">
        <f>'StartNew Revenue &amp; Costs'!H17+'StartNew Revenue &amp; Costs'!H23</f>
        <v>0</v>
      </c>
      <c r="I83" s="71" t="e">
        <f>'StartNew Revenue &amp; Costs'!I17+'StartNew Revenue &amp; Costs'!I23</f>
        <v>#REF!</v>
      </c>
      <c r="J83" s="71">
        <f>'StartNew Revenue &amp; Costs'!J17+'StartNew Revenue &amp; Costs'!J23</f>
        <v>0</v>
      </c>
      <c r="K83" s="71">
        <f>'StartNew Revenue &amp; Costs'!K17+'StartNew Revenue &amp; Costs'!K23</f>
        <v>0</v>
      </c>
      <c r="L83" s="71">
        <f>'StartNew Revenue &amp; Costs'!L17+'StartNew Revenue &amp; Costs'!L23</f>
        <v>930</v>
      </c>
      <c r="M83" s="71">
        <f>'StartNew Revenue &amp; Costs'!M17+'StartNew Revenue &amp; Costs'!M23</f>
        <v>0</v>
      </c>
      <c r="N83" s="12" t="e">
        <f>SUM(B83:M83)</f>
        <v>#REF!</v>
      </c>
      <c r="O83" s="12">
        <v>0</v>
      </c>
      <c r="P83" s="12" t="e">
        <f t="shared" si="15"/>
        <v>#REF!</v>
      </c>
      <c r="Q83" s="12">
        <v>0</v>
      </c>
      <c r="R83" s="27"/>
    </row>
    <row r="84" spans="1:18">
      <c r="A84" s="73" t="s">
        <v>92</v>
      </c>
      <c r="B84" s="289" t="e">
        <f t="shared" ref="B84:Q84" si="16">SUM(B75:B83)</f>
        <v>#REF!</v>
      </c>
      <c r="C84" s="289" t="e">
        <f t="shared" si="16"/>
        <v>#REF!</v>
      </c>
      <c r="D84" s="289" t="e">
        <f t="shared" si="16"/>
        <v>#REF!</v>
      </c>
      <c r="E84" s="289" t="e">
        <f t="shared" si="16"/>
        <v>#REF!</v>
      </c>
      <c r="F84" s="289" t="e">
        <f t="shared" si="16"/>
        <v>#REF!</v>
      </c>
      <c r="G84" s="289" t="e">
        <f t="shared" si="16"/>
        <v>#REF!</v>
      </c>
      <c r="H84" s="289" t="e">
        <f t="shared" si="16"/>
        <v>#REF!</v>
      </c>
      <c r="I84" s="289" t="e">
        <f t="shared" si="16"/>
        <v>#REF!</v>
      </c>
      <c r="J84" s="289" t="e">
        <f t="shared" si="16"/>
        <v>#REF!</v>
      </c>
      <c r="K84" s="289" t="e">
        <f t="shared" si="16"/>
        <v>#REF!</v>
      </c>
      <c r="L84" s="289" t="e">
        <f t="shared" si="16"/>
        <v>#REF!</v>
      </c>
      <c r="M84" s="289" t="e">
        <f t="shared" si="16"/>
        <v>#REF!</v>
      </c>
      <c r="N84" s="20" t="e">
        <f t="shared" si="16"/>
        <v>#REF!</v>
      </c>
      <c r="O84" s="20">
        <f t="shared" si="16"/>
        <v>71913</v>
      </c>
      <c r="P84" s="20" t="e">
        <f t="shared" si="16"/>
        <v>#REF!</v>
      </c>
      <c r="Q84" s="20">
        <f t="shared" si="16"/>
        <v>0</v>
      </c>
      <c r="R84" s="27"/>
    </row>
    <row r="85" spans="1:18" ht="6" customHeight="1">
      <c r="A85" s="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7"/>
    </row>
    <row r="86" spans="1:18">
      <c r="A86" s="1" t="s">
        <v>93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27"/>
    </row>
    <row r="87" spans="1:18">
      <c r="A87" s="4" t="s">
        <v>94</v>
      </c>
      <c r="B87" s="12">
        <v>5900</v>
      </c>
      <c r="C87" s="12">
        <v>5900</v>
      </c>
      <c r="D87" s="12">
        <v>5900</v>
      </c>
      <c r="E87" s="12">
        <v>5900</v>
      </c>
      <c r="F87" s="12">
        <v>5900</v>
      </c>
      <c r="G87" s="12">
        <v>0</v>
      </c>
      <c r="H87" s="12">
        <v>2000</v>
      </c>
      <c r="I87" s="12">
        <v>2000</v>
      </c>
      <c r="J87" s="12">
        <v>2000</v>
      </c>
      <c r="K87" s="12">
        <v>2000</v>
      </c>
      <c r="L87" s="12">
        <v>2000</v>
      </c>
      <c r="M87" s="12">
        <v>2000</v>
      </c>
      <c r="N87" s="12">
        <f>SUM(B87:M87)</f>
        <v>41500</v>
      </c>
      <c r="O87" s="12">
        <v>0</v>
      </c>
      <c r="P87" s="12">
        <f>N87-O87</f>
        <v>41500</v>
      </c>
      <c r="Q87" s="12">
        <v>0</v>
      </c>
      <c r="R87" s="27" t="s">
        <v>35</v>
      </c>
    </row>
    <row r="88" spans="1:18">
      <c r="A88" s="4" t="s">
        <v>95</v>
      </c>
      <c r="B88" s="12">
        <v>1700</v>
      </c>
      <c r="C88" s="12">
        <v>1700</v>
      </c>
      <c r="D88" s="12">
        <v>1700</v>
      </c>
      <c r="E88" s="12">
        <v>1700</v>
      </c>
      <c r="F88" s="12">
        <v>1700</v>
      </c>
      <c r="G88" s="12">
        <v>1700</v>
      </c>
      <c r="H88" s="12">
        <v>1700</v>
      </c>
      <c r="I88" s="12">
        <v>1700</v>
      </c>
      <c r="J88" s="12">
        <v>1700</v>
      </c>
      <c r="K88" s="12">
        <v>1700</v>
      </c>
      <c r="L88" s="12">
        <v>1700</v>
      </c>
      <c r="M88" s="12">
        <v>1700</v>
      </c>
      <c r="N88" s="12">
        <f>SUM(B88:M88)</f>
        <v>20400</v>
      </c>
      <c r="O88" s="12">
        <v>19676</v>
      </c>
      <c r="P88" s="12">
        <f>N88-O88</f>
        <v>724</v>
      </c>
      <c r="Q88" s="12">
        <v>0</v>
      </c>
      <c r="R88" s="27"/>
    </row>
    <row r="89" spans="1:18">
      <c r="A89" s="4" t="s">
        <v>96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f>SUM(B89:M89)</f>
        <v>0</v>
      </c>
      <c r="O89" s="12">
        <v>0</v>
      </c>
      <c r="P89" s="12">
        <f>N89-O89</f>
        <v>0</v>
      </c>
      <c r="Q89" s="12">
        <v>0</v>
      </c>
      <c r="R89" s="27" t="s">
        <v>38</v>
      </c>
    </row>
    <row r="90" spans="1:18">
      <c r="A90" s="1" t="s">
        <v>97</v>
      </c>
      <c r="B90" s="20">
        <f t="shared" ref="B90:O90" si="17">SUM(B87:B89)</f>
        <v>7600</v>
      </c>
      <c r="C90" s="20">
        <f t="shared" si="17"/>
        <v>7600</v>
      </c>
      <c r="D90" s="20">
        <f t="shared" si="17"/>
        <v>7600</v>
      </c>
      <c r="E90" s="20">
        <f t="shared" si="17"/>
        <v>7600</v>
      </c>
      <c r="F90" s="20">
        <f t="shared" si="17"/>
        <v>7600</v>
      </c>
      <c r="G90" s="20">
        <f t="shared" si="17"/>
        <v>1700</v>
      </c>
      <c r="H90" s="20">
        <f t="shared" si="17"/>
        <v>3700</v>
      </c>
      <c r="I90" s="20">
        <f t="shared" si="17"/>
        <v>3700</v>
      </c>
      <c r="J90" s="20">
        <f t="shared" si="17"/>
        <v>3700</v>
      </c>
      <c r="K90" s="20">
        <f t="shared" si="17"/>
        <v>3700</v>
      </c>
      <c r="L90" s="20">
        <f t="shared" si="17"/>
        <v>3700</v>
      </c>
      <c r="M90" s="20">
        <f t="shared" si="17"/>
        <v>3700</v>
      </c>
      <c r="N90" s="20">
        <f t="shared" si="17"/>
        <v>61900</v>
      </c>
      <c r="O90" s="20">
        <f t="shared" si="17"/>
        <v>19676</v>
      </c>
      <c r="P90" s="20">
        <f>N90-O90</f>
        <v>42224</v>
      </c>
      <c r="Q90" s="20">
        <f>SUM(Q87:Q89)</f>
        <v>0</v>
      </c>
      <c r="R90" s="27"/>
    </row>
    <row r="91" spans="1:18" ht="6" customHeight="1">
      <c r="A91" s="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7"/>
    </row>
    <row r="92" spans="1:18" ht="14.5" customHeight="1">
      <c r="A92" s="1" t="s">
        <v>98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7"/>
    </row>
    <row r="93" spans="1:18">
      <c r="A93" s="1" t="s">
        <v>99</v>
      </c>
      <c r="B93" s="12">
        <v>16225</v>
      </c>
      <c r="C93" s="12">
        <v>16225</v>
      </c>
      <c r="D93" s="12">
        <v>16225</v>
      </c>
      <c r="E93" s="12">
        <v>16225</v>
      </c>
      <c r="F93" s="12">
        <v>16225</v>
      </c>
      <c r="G93" s="12">
        <v>16225</v>
      </c>
      <c r="H93" s="12">
        <v>16225</v>
      </c>
      <c r="I93" s="12">
        <v>16225</v>
      </c>
      <c r="J93" s="12">
        <v>16225</v>
      </c>
      <c r="K93" s="12">
        <v>16225</v>
      </c>
      <c r="L93" s="12">
        <v>16225</v>
      </c>
      <c r="M93" s="12">
        <v>16225</v>
      </c>
      <c r="N93" s="12">
        <f>SUM(B93:M93)</f>
        <v>194700</v>
      </c>
      <c r="O93" s="12">
        <v>195100</v>
      </c>
      <c r="P93" s="12">
        <f>N93-O93</f>
        <v>-400</v>
      </c>
      <c r="Q93" s="12">
        <v>0</v>
      </c>
      <c r="R93" s="27" t="s">
        <v>100</v>
      </c>
    </row>
    <row r="94" spans="1:18">
      <c r="A94" s="4" t="s">
        <v>101</v>
      </c>
      <c r="B94" s="12">
        <v>8020</v>
      </c>
      <c r="C94" s="12">
        <v>8020</v>
      </c>
      <c r="D94" s="12">
        <v>8020</v>
      </c>
      <c r="E94" s="12">
        <v>8020</v>
      </c>
      <c r="F94" s="12">
        <v>8020</v>
      </c>
      <c r="G94" s="12">
        <v>8020</v>
      </c>
      <c r="H94" s="12">
        <v>8020</v>
      </c>
      <c r="I94" s="12">
        <v>8020</v>
      </c>
      <c r="J94" s="12">
        <v>8020</v>
      </c>
      <c r="K94" s="12">
        <v>8020</v>
      </c>
      <c r="L94" s="12">
        <v>8020</v>
      </c>
      <c r="M94" s="12">
        <v>8020</v>
      </c>
      <c r="N94" s="12">
        <f>SUM(B94:M94)</f>
        <v>96240</v>
      </c>
      <c r="O94" s="12">
        <v>56005</v>
      </c>
      <c r="P94" s="12">
        <f>N94-O94</f>
        <v>40235</v>
      </c>
      <c r="Q94" s="12">
        <v>0</v>
      </c>
      <c r="R94" s="27" t="s">
        <v>102</v>
      </c>
    </row>
    <row r="95" spans="1:18">
      <c r="A95" s="4" t="s">
        <v>103</v>
      </c>
      <c r="B95" s="12">
        <v>1062.75</v>
      </c>
      <c r="C95" s="12">
        <v>1062.75</v>
      </c>
      <c r="D95" s="12">
        <v>330</v>
      </c>
      <c r="E95" s="12">
        <v>330</v>
      </c>
      <c r="F95" s="12">
        <v>330</v>
      </c>
      <c r="G95" s="12">
        <v>330</v>
      </c>
      <c r="H95" s="12">
        <v>330</v>
      </c>
      <c r="I95" s="12">
        <v>330</v>
      </c>
      <c r="J95" s="12">
        <v>330</v>
      </c>
      <c r="K95" s="12">
        <v>330</v>
      </c>
      <c r="L95" s="12">
        <v>330</v>
      </c>
      <c r="M95" s="12">
        <v>330</v>
      </c>
      <c r="N95" s="12">
        <f>SUM(B95:M95)</f>
        <v>5425.5</v>
      </c>
      <c r="O95" s="12">
        <v>8189</v>
      </c>
      <c r="P95" s="12">
        <f>N95-O95</f>
        <v>-2763.5</v>
      </c>
      <c r="Q95" s="12">
        <v>0</v>
      </c>
      <c r="R95" s="27"/>
    </row>
    <row r="96" spans="1:18">
      <c r="A96" s="4" t="s">
        <v>104</v>
      </c>
      <c r="B96" s="12">
        <v>3850</v>
      </c>
      <c r="C96" s="12">
        <v>3850</v>
      </c>
      <c r="D96" s="12">
        <v>3850</v>
      </c>
      <c r="E96" s="12">
        <v>3850</v>
      </c>
      <c r="F96" s="12">
        <v>3850</v>
      </c>
      <c r="G96" s="12">
        <v>3850</v>
      </c>
      <c r="H96" s="12">
        <v>3850</v>
      </c>
      <c r="I96" s="12">
        <v>3850</v>
      </c>
      <c r="J96" s="12">
        <v>3850</v>
      </c>
      <c r="K96" s="12">
        <v>3850</v>
      </c>
      <c r="L96" s="12">
        <v>3850</v>
      </c>
      <c r="M96" s="12">
        <v>3850</v>
      </c>
      <c r="N96" s="12">
        <f>SUM(B96:M96)</f>
        <v>46200</v>
      </c>
      <c r="O96" s="12">
        <v>42572</v>
      </c>
      <c r="P96" s="12">
        <f>N96-O96</f>
        <v>3628</v>
      </c>
      <c r="Q96" s="12">
        <v>0</v>
      </c>
      <c r="R96" s="27" t="s">
        <v>105</v>
      </c>
    </row>
    <row r="97" spans="1:18">
      <c r="A97" s="1" t="s">
        <v>106</v>
      </c>
      <c r="B97" s="20">
        <f t="shared" ref="B97:Q97" si="18">SUM(B93:B96)</f>
        <v>29157.75</v>
      </c>
      <c r="C97" s="20">
        <f t="shared" si="18"/>
        <v>29157.75</v>
      </c>
      <c r="D97" s="20">
        <f t="shared" si="18"/>
        <v>28425</v>
      </c>
      <c r="E97" s="20">
        <f t="shared" si="18"/>
        <v>28425</v>
      </c>
      <c r="F97" s="20">
        <f t="shared" si="18"/>
        <v>28425</v>
      </c>
      <c r="G97" s="20">
        <f t="shared" si="18"/>
        <v>28425</v>
      </c>
      <c r="H97" s="20">
        <f t="shared" si="18"/>
        <v>28425</v>
      </c>
      <c r="I97" s="20">
        <f t="shared" si="18"/>
        <v>28425</v>
      </c>
      <c r="J97" s="20">
        <f t="shared" si="18"/>
        <v>28425</v>
      </c>
      <c r="K97" s="20">
        <f t="shared" si="18"/>
        <v>28425</v>
      </c>
      <c r="L97" s="20">
        <f t="shared" si="18"/>
        <v>28425</v>
      </c>
      <c r="M97" s="20">
        <f t="shared" si="18"/>
        <v>28425</v>
      </c>
      <c r="N97" s="20">
        <f t="shared" si="18"/>
        <v>342565.5</v>
      </c>
      <c r="O97" s="20">
        <f t="shared" si="18"/>
        <v>301866</v>
      </c>
      <c r="P97" s="20">
        <f>N97-O97</f>
        <v>40699.5</v>
      </c>
      <c r="Q97" s="20">
        <f t="shared" si="18"/>
        <v>0</v>
      </c>
      <c r="R97" s="27"/>
    </row>
    <row r="98" spans="1:18" ht="6" customHeight="1">
      <c r="A98" s="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7"/>
    </row>
    <row r="99" spans="1:18" s="3" customFormat="1">
      <c r="A99" s="1" t="s">
        <v>107</v>
      </c>
      <c r="B99" s="20" t="e">
        <f t="shared" ref="B99:N99" si="19">B50+B57+B67+B72+B84+B90+B97</f>
        <v>#REF!</v>
      </c>
      <c r="C99" s="20" t="e">
        <f t="shared" si="19"/>
        <v>#REF!</v>
      </c>
      <c r="D99" s="20" t="e">
        <f t="shared" si="19"/>
        <v>#REF!</v>
      </c>
      <c r="E99" s="20" t="e">
        <f t="shared" si="19"/>
        <v>#REF!</v>
      </c>
      <c r="F99" s="20" t="e">
        <f t="shared" si="19"/>
        <v>#REF!</v>
      </c>
      <c r="G99" s="20" t="e">
        <f t="shared" si="19"/>
        <v>#REF!</v>
      </c>
      <c r="H99" s="20" t="e">
        <f t="shared" si="19"/>
        <v>#REF!</v>
      </c>
      <c r="I99" s="20" t="e">
        <f t="shared" si="19"/>
        <v>#REF!</v>
      </c>
      <c r="J99" s="20" t="e">
        <f t="shared" si="19"/>
        <v>#REF!</v>
      </c>
      <c r="K99" s="20" t="e">
        <f t="shared" si="19"/>
        <v>#REF!</v>
      </c>
      <c r="L99" s="20" t="e">
        <f t="shared" si="19"/>
        <v>#REF!</v>
      </c>
      <c r="M99" s="20" t="e">
        <f t="shared" si="19"/>
        <v>#REF!</v>
      </c>
      <c r="N99" s="20" t="e">
        <f t="shared" si="19"/>
        <v>#REF!</v>
      </c>
      <c r="O99" s="20">
        <f>O50+O84+O67+O90+O97</f>
        <v>530558</v>
      </c>
      <c r="P99" s="20" t="e">
        <f>N99-O99</f>
        <v>#REF!</v>
      </c>
      <c r="Q99" s="24">
        <f>((((Q50)+(Q84))+(Q67))+(Q90))+(Q97)</f>
        <v>0</v>
      </c>
      <c r="R99" s="27"/>
    </row>
    <row r="100" spans="1:18" s="3" customFormat="1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20"/>
      <c r="O100" s="20"/>
      <c r="P100" s="20"/>
      <c r="Q100" s="13"/>
      <c r="R100" s="27"/>
    </row>
    <row r="101" spans="1:18">
      <c r="A101" s="1" t="s">
        <v>108</v>
      </c>
      <c r="B101" s="19" t="e">
        <f t="shared" ref="B101:O101" si="20">B38-B99</f>
        <v>#REF!</v>
      </c>
      <c r="C101" s="19" t="e">
        <f t="shared" si="20"/>
        <v>#REF!</v>
      </c>
      <c r="D101" s="19" t="e">
        <f t="shared" si="20"/>
        <v>#REF!</v>
      </c>
      <c r="E101" s="19" t="e">
        <f t="shared" si="20"/>
        <v>#REF!</v>
      </c>
      <c r="F101" s="19" t="e">
        <f t="shared" si="20"/>
        <v>#REF!</v>
      </c>
      <c r="G101" s="19" t="e">
        <f t="shared" si="20"/>
        <v>#REF!</v>
      </c>
      <c r="H101" s="19" t="e">
        <f t="shared" si="20"/>
        <v>#REF!</v>
      </c>
      <c r="I101" s="19" t="e">
        <f t="shared" si="20"/>
        <v>#REF!</v>
      </c>
      <c r="J101" s="19" t="e">
        <f t="shared" si="20"/>
        <v>#REF!</v>
      </c>
      <c r="K101" s="19" t="e">
        <f t="shared" si="20"/>
        <v>#REF!</v>
      </c>
      <c r="L101" s="19" t="e">
        <f t="shared" si="20"/>
        <v>#REF!</v>
      </c>
      <c r="M101" s="19" t="e">
        <f t="shared" si="20"/>
        <v>#REF!</v>
      </c>
      <c r="N101" s="19" t="e">
        <f t="shared" si="20"/>
        <v>#REF!</v>
      </c>
      <c r="O101" s="19">
        <f t="shared" si="20"/>
        <v>20144</v>
      </c>
      <c r="P101" s="19" t="e">
        <f>N101-O101</f>
        <v>#REF!</v>
      </c>
      <c r="Q101" s="19">
        <f>Q38-Q99</f>
        <v>0</v>
      </c>
      <c r="R101" s="27"/>
    </row>
    <row r="102" spans="1:18">
      <c r="A102" s="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</row>
    <row r="103" spans="1:18" s="9" customFormat="1" ht="12">
      <c r="A103" s="9" t="s">
        <v>109</v>
      </c>
      <c r="B103" s="21">
        <v>120743.25</v>
      </c>
      <c r="C103" s="21" t="e">
        <f>B105</f>
        <v>#REF!</v>
      </c>
      <c r="D103" s="21" t="e">
        <f t="shared" ref="D103:M103" si="21">C105</f>
        <v>#REF!</v>
      </c>
      <c r="E103" s="21" t="e">
        <f t="shared" si="21"/>
        <v>#REF!</v>
      </c>
      <c r="F103" s="21" t="e">
        <f t="shared" si="21"/>
        <v>#REF!</v>
      </c>
      <c r="G103" s="21" t="e">
        <f t="shared" si="21"/>
        <v>#REF!</v>
      </c>
      <c r="H103" s="21" t="e">
        <f t="shared" si="21"/>
        <v>#REF!</v>
      </c>
      <c r="I103" s="21" t="e">
        <f t="shared" si="21"/>
        <v>#REF!</v>
      </c>
      <c r="J103" s="21" t="e">
        <f t="shared" si="21"/>
        <v>#REF!</v>
      </c>
      <c r="K103" s="21" t="e">
        <f t="shared" si="21"/>
        <v>#REF!</v>
      </c>
      <c r="L103" s="21" t="e">
        <f t="shared" si="21"/>
        <v>#REF!</v>
      </c>
      <c r="M103" s="21" t="e">
        <f t="shared" si="21"/>
        <v>#REF!</v>
      </c>
      <c r="N103" s="16"/>
      <c r="O103" s="16"/>
      <c r="P103" s="16"/>
      <c r="Q103" s="16"/>
      <c r="R103" s="27"/>
    </row>
    <row r="104" spans="1:18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17"/>
      <c r="O104" s="17"/>
      <c r="P104" s="17"/>
      <c r="Q104" s="17"/>
      <c r="R104" s="27"/>
    </row>
    <row r="105" spans="1:18" s="7" customFormat="1" ht="12">
      <c r="A105" s="9" t="s">
        <v>110</v>
      </c>
      <c r="B105" s="21" t="e">
        <f>B101+B103</f>
        <v>#REF!</v>
      </c>
      <c r="C105" s="21" t="e">
        <f t="shared" ref="C105:M105" si="22">C101+C103</f>
        <v>#REF!</v>
      </c>
      <c r="D105" s="21" t="e">
        <f t="shared" si="22"/>
        <v>#REF!</v>
      </c>
      <c r="E105" s="21" t="e">
        <f t="shared" si="22"/>
        <v>#REF!</v>
      </c>
      <c r="F105" s="21" t="e">
        <f t="shared" si="22"/>
        <v>#REF!</v>
      </c>
      <c r="G105" s="21" t="e">
        <f t="shared" si="22"/>
        <v>#REF!</v>
      </c>
      <c r="H105" s="21" t="e">
        <f t="shared" si="22"/>
        <v>#REF!</v>
      </c>
      <c r="I105" s="21" t="e">
        <f t="shared" si="22"/>
        <v>#REF!</v>
      </c>
      <c r="J105" s="21" t="e">
        <f t="shared" si="22"/>
        <v>#REF!</v>
      </c>
      <c r="K105" s="21" t="e">
        <f t="shared" si="22"/>
        <v>#REF!</v>
      </c>
      <c r="L105" s="21" t="e">
        <f t="shared" si="22"/>
        <v>#REF!</v>
      </c>
      <c r="M105" s="21" t="e">
        <f t="shared" si="22"/>
        <v>#REF!</v>
      </c>
      <c r="N105" s="18"/>
      <c r="O105" s="18"/>
      <c r="P105" s="18"/>
      <c r="Q105" s="18"/>
      <c r="R105" s="27"/>
    </row>
    <row r="107" spans="1:18">
      <c r="A107" s="10" t="s">
        <v>111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</row>
  </sheetData>
  <mergeCells count="3">
    <mergeCell ref="A1:N1"/>
    <mergeCell ref="A2:N2"/>
    <mergeCell ref="A3:N3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87CDD-62CA-3C46-AF44-95C7AD05D134}">
  <dimension ref="A3:P9"/>
  <sheetViews>
    <sheetView zoomScale="150" zoomScaleNormal="150" workbookViewId="0">
      <selection activeCell="C24" sqref="C24"/>
    </sheetView>
  </sheetViews>
  <sheetFormatPr baseColWidth="10" defaultColWidth="10.83203125" defaultRowHeight="15"/>
  <cols>
    <col min="1" max="1" width="19.33203125" style="3" customWidth="1"/>
    <col min="2" max="13" width="11.6640625" style="288" bestFit="1" customWidth="1"/>
    <col min="14" max="14" width="12.6640625" style="288" bestFit="1" customWidth="1"/>
    <col min="15" max="15" width="12.5" style="288" bestFit="1" customWidth="1"/>
    <col min="16" max="16" width="13.33203125" style="288" customWidth="1"/>
    <col min="17" max="16384" width="10.83203125" style="288"/>
  </cols>
  <sheetData>
    <row r="3" spans="1:16" ht="21">
      <c r="H3" s="691">
        <v>2021</v>
      </c>
    </row>
    <row r="4" spans="1:16" s="3" customFormat="1">
      <c r="B4" s="3" t="s">
        <v>267</v>
      </c>
      <c r="C4" s="3" t="s">
        <v>268</v>
      </c>
      <c r="D4" s="3" t="s">
        <v>269</v>
      </c>
      <c r="E4" s="3" t="s">
        <v>270</v>
      </c>
      <c r="F4" s="3" t="s">
        <v>271</v>
      </c>
      <c r="G4" s="3" t="s">
        <v>272</v>
      </c>
      <c r="H4" s="3" t="s">
        <v>273</v>
      </c>
      <c r="I4" s="3" t="s">
        <v>274</v>
      </c>
      <c r="J4" s="3" t="s">
        <v>275</v>
      </c>
      <c r="K4" s="3" t="s">
        <v>276</v>
      </c>
      <c r="L4" s="3" t="s">
        <v>277</v>
      </c>
      <c r="M4" s="3" t="s">
        <v>278</v>
      </c>
      <c r="N4" s="3" t="s">
        <v>279</v>
      </c>
      <c r="O4" s="3" t="s">
        <v>280</v>
      </c>
      <c r="P4" s="3" t="s">
        <v>281</v>
      </c>
    </row>
    <row r="5" spans="1:16">
      <c r="A5" s="3" t="s">
        <v>282</v>
      </c>
      <c r="C5" s="288">
        <v>10</v>
      </c>
      <c r="D5" s="288">
        <f>1.2*C5</f>
        <v>12</v>
      </c>
      <c r="E5" s="288">
        <f t="shared" ref="E5:M5" si="0">1.2*D5</f>
        <v>14.399999999999999</v>
      </c>
      <c r="F5" s="692">
        <f t="shared" si="0"/>
        <v>17.279999999999998</v>
      </c>
      <c r="G5" s="692">
        <f t="shared" si="0"/>
        <v>20.735999999999997</v>
      </c>
      <c r="H5" s="692">
        <f t="shared" si="0"/>
        <v>24.883199999999995</v>
      </c>
      <c r="I5" s="692">
        <f t="shared" si="0"/>
        <v>29.859839999999991</v>
      </c>
      <c r="J5" s="692">
        <f t="shared" si="0"/>
        <v>35.831807999999988</v>
      </c>
      <c r="K5" s="692">
        <f t="shared" si="0"/>
        <v>42.998169599999983</v>
      </c>
      <c r="L5" s="692">
        <f t="shared" si="0"/>
        <v>51.597803519999978</v>
      </c>
      <c r="M5" s="692">
        <f t="shared" si="0"/>
        <v>61.917364223999968</v>
      </c>
      <c r="N5" s="692">
        <f>SUM(C5:M5)</f>
        <v>321.50418534399989</v>
      </c>
      <c r="O5" s="171" t="s">
        <v>283</v>
      </c>
      <c r="P5" s="171"/>
    </row>
    <row r="6" spans="1:16">
      <c r="B6" s="114">
        <f>95*B5</f>
        <v>0</v>
      </c>
      <c r="C6" s="171">
        <f>95*C5</f>
        <v>950</v>
      </c>
      <c r="D6" s="171">
        <f t="shared" ref="D6:M6" si="1">95*D5</f>
        <v>1140</v>
      </c>
      <c r="E6" s="171">
        <f t="shared" si="1"/>
        <v>1367.9999999999998</v>
      </c>
      <c r="F6" s="171">
        <f t="shared" si="1"/>
        <v>1641.5999999999997</v>
      </c>
      <c r="G6" s="171">
        <f t="shared" si="1"/>
        <v>1969.9199999999996</v>
      </c>
      <c r="H6" s="171">
        <f t="shared" si="1"/>
        <v>2363.9039999999995</v>
      </c>
      <c r="I6" s="171">
        <f t="shared" si="1"/>
        <v>2836.6847999999991</v>
      </c>
      <c r="J6" s="171">
        <f t="shared" si="1"/>
        <v>3404.0217599999987</v>
      </c>
      <c r="K6" s="171">
        <f t="shared" si="1"/>
        <v>4084.8261119999984</v>
      </c>
      <c r="L6" s="171">
        <f t="shared" si="1"/>
        <v>4901.791334399998</v>
      </c>
      <c r="M6" s="171">
        <f t="shared" si="1"/>
        <v>5882.1496012799971</v>
      </c>
      <c r="N6" s="693">
        <f>SUM(B6:M6)</f>
        <v>30542.897607679992</v>
      </c>
    </row>
    <row r="7" spans="1:16">
      <c r="A7" s="3" t="s">
        <v>284</v>
      </c>
      <c r="B7" s="288">
        <v>1</v>
      </c>
      <c r="C7" s="288">
        <v>2</v>
      </c>
      <c r="D7" s="288">
        <v>2</v>
      </c>
      <c r="E7" s="288">
        <v>2</v>
      </c>
      <c r="F7" s="288">
        <v>2</v>
      </c>
      <c r="G7" s="288">
        <v>2</v>
      </c>
      <c r="H7" s="288">
        <v>2</v>
      </c>
      <c r="I7" s="288">
        <v>2</v>
      </c>
      <c r="J7" s="288">
        <v>2</v>
      </c>
      <c r="K7" s="288">
        <v>2</v>
      </c>
      <c r="L7" s="288">
        <v>2</v>
      </c>
      <c r="M7" s="288">
        <v>2</v>
      </c>
      <c r="N7" s="288">
        <f>SUM(B7:M7)</f>
        <v>23</v>
      </c>
    </row>
    <row r="8" spans="1:16">
      <c r="B8" s="171">
        <f>1140*B7</f>
        <v>1140</v>
      </c>
      <c r="C8" s="171">
        <f t="shared" ref="C8:M8" si="2">1140*C7</f>
        <v>2280</v>
      </c>
      <c r="D8" s="171">
        <f t="shared" si="2"/>
        <v>2280</v>
      </c>
      <c r="E8" s="171">
        <f t="shared" si="2"/>
        <v>2280</v>
      </c>
      <c r="F8" s="171">
        <f t="shared" si="2"/>
        <v>2280</v>
      </c>
      <c r="G8" s="171">
        <f t="shared" si="2"/>
        <v>2280</v>
      </c>
      <c r="H8" s="171">
        <f t="shared" si="2"/>
        <v>2280</v>
      </c>
      <c r="I8" s="171">
        <f t="shared" si="2"/>
        <v>2280</v>
      </c>
      <c r="J8" s="171">
        <f t="shared" si="2"/>
        <v>2280</v>
      </c>
      <c r="K8" s="171">
        <f t="shared" si="2"/>
        <v>2280</v>
      </c>
      <c r="L8" s="171">
        <f t="shared" si="2"/>
        <v>2280</v>
      </c>
      <c r="M8" s="171">
        <f t="shared" si="2"/>
        <v>2280</v>
      </c>
      <c r="N8" s="171">
        <f>SUM(B8:M8)</f>
        <v>26220</v>
      </c>
    </row>
    <row r="9" spans="1:16">
      <c r="A9" s="3" t="s">
        <v>285</v>
      </c>
      <c r="B9" s="171">
        <v>31250</v>
      </c>
      <c r="C9" s="171">
        <v>18750</v>
      </c>
      <c r="D9" s="171">
        <v>28750</v>
      </c>
      <c r="E9" s="171">
        <v>19750</v>
      </c>
      <c r="F9" s="171">
        <v>34750</v>
      </c>
      <c r="G9" s="171">
        <v>19750</v>
      </c>
      <c r="H9" s="171">
        <v>34750</v>
      </c>
      <c r="I9" s="171">
        <v>24750</v>
      </c>
      <c r="J9" s="171">
        <v>37350</v>
      </c>
      <c r="K9" s="171">
        <v>36750</v>
      </c>
      <c r="L9" s="171">
        <v>40750</v>
      </c>
      <c r="M9" s="171">
        <v>25750</v>
      </c>
      <c r="N9" s="171">
        <f>SUM(B9:M9)</f>
        <v>353100</v>
      </c>
      <c r="P9" s="171" t="e">
        <f>#REF!</f>
        <v>#REF!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9543F-2AF6-1546-BF62-F45E875B5446}">
  <dimension ref="A1:AO145"/>
  <sheetViews>
    <sheetView zoomScale="170" zoomScaleNormal="170" zoomScalePageLayoutView="150" workbookViewId="0">
      <pane xSplit="1" ySplit="3" topLeftCell="B55" activePane="bottomRight" state="frozen"/>
      <selection pane="topRight" activeCell="AW1" sqref="AW1"/>
      <selection pane="bottomLeft" activeCell="A4" sqref="A4"/>
      <selection pane="bottomRight" activeCell="E70" sqref="E70:F70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668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6" style="133" customWidth="1"/>
    <col min="19" max="19" width="15.1640625" style="394" customWidth="1"/>
    <col min="20" max="20" width="20.6640625" style="512" customWidth="1"/>
    <col min="21" max="16384" width="8.83203125" style="121"/>
  </cols>
  <sheetData>
    <row r="1" spans="1:20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650"/>
      <c r="T1" s="501"/>
    </row>
    <row r="2" spans="1:20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T2" s="501"/>
    </row>
    <row r="3" spans="1:20" s="638" customFormat="1" ht="2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640" t="s">
        <v>112</v>
      </c>
      <c r="O3" s="636" t="s">
        <v>113</v>
      </c>
      <c r="P3" s="637" t="s">
        <v>114</v>
      </c>
      <c r="Q3" s="637" t="s">
        <v>115</v>
      </c>
      <c r="R3" s="637" t="s">
        <v>228</v>
      </c>
      <c r="S3" s="433" t="s">
        <v>239</v>
      </c>
      <c r="T3" s="490"/>
    </row>
    <row r="4" spans="1:20" s="267" customFormat="1" ht="13">
      <c r="A4" s="419" t="s">
        <v>9</v>
      </c>
      <c r="B4" s="712"/>
      <c r="C4" s="731"/>
      <c r="D4" s="731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397"/>
      <c r="P4" s="133"/>
      <c r="Q4" s="133"/>
      <c r="R4" s="133"/>
      <c r="S4" s="398">
        <f>O4-R4</f>
        <v>0</v>
      </c>
      <c r="T4" s="500"/>
    </row>
    <row r="5" spans="1:20" s="267" customFormat="1" ht="13">
      <c r="A5" s="419" t="s">
        <v>10</v>
      </c>
      <c r="B5" s="713"/>
      <c r="C5" s="732"/>
      <c r="D5" s="732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397"/>
      <c r="P5" s="271"/>
      <c r="Q5" s="133"/>
      <c r="R5" s="133"/>
      <c r="S5" s="398">
        <f t="shared" ref="S5:S69" si="0">O5-R5</f>
        <v>0</v>
      </c>
      <c r="T5" s="500"/>
    </row>
    <row r="6" spans="1:20" s="267" customFormat="1" ht="13">
      <c r="A6" s="420" t="s">
        <v>11</v>
      </c>
      <c r="B6" s="713">
        <v>20000</v>
      </c>
      <c r="C6" s="732">
        <f>0</f>
        <v>0</v>
      </c>
      <c r="D6" s="732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1" si="1">SUM(B6:M6)</f>
        <v>20000</v>
      </c>
      <c r="O6" s="397">
        <v>0</v>
      </c>
      <c r="P6" s="271">
        <v>0</v>
      </c>
      <c r="Q6" s="274">
        <f>N6-P6</f>
        <v>20000</v>
      </c>
      <c r="R6" s="397">
        <v>0</v>
      </c>
      <c r="S6" s="398">
        <f t="shared" si="0"/>
        <v>0</v>
      </c>
      <c r="T6" s="500"/>
    </row>
    <row r="7" spans="1:20" s="267" customFormat="1" ht="13">
      <c r="A7" s="420" t="s">
        <v>118</v>
      </c>
      <c r="B7" s="713">
        <v>0</v>
      </c>
      <c r="C7" s="713">
        <v>0</v>
      </c>
      <c r="D7" s="713">
        <v>0</v>
      </c>
      <c r="E7" s="678">
        <v>0</v>
      </c>
      <c r="F7" s="679">
        <v>10000</v>
      </c>
      <c r="G7" s="679">
        <v>0</v>
      </c>
      <c r="H7" s="679">
        <v>1100</v>
      </c>
      <c r="I7" s="679">
        <v>600</v>
      </c>
      <c r="J7" s="679">
        <v>600</v>
      </c>
      <c r="K7" s="679">
        <v>0</v>
      </c>
      <c r="L7" s="679">
        <v>0</v>
      </c>
      <c r="M7" s="680">
        <v>0</v>
      </c>
      <c r="N7" s="468">
        <f t="shared" si="1"/>
        <v>12300</v>
      </c>
      <c r="O7" s="397">
        <v>12300</v>
      </c>
      <c r="P7" s="271"/>
      <c r="Q7" s="274">
        <f t="shared" ref="Q7:Q23" si="2">N7-P7</f>
        <v>12300</v>
      </c>
      <c r="R7" s="397">
        <v>47000</v>
      </c>
      <c r="S7" s="398">
        <f t="shared" si="0"/>
        <v>-34700</v>
      </c>
      <c r="T7" s="500"/>
    </row>
    <row r="8" spans="1:20" s="267" customFormat="1" ht="13">
      <c r="A8" s="420" t="s">
        <v>13</v>
      </c>
      <c r="B8" s="713">
        <v>0</v>
      </c>
      <c r="C8" s="732">
        <v>0</v>
      </c>
      <c r="D8" s="732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654">
        <v>0</v>
      </c>
      <c r="N8" s="468">
        <f t="shared" si="1"/>
        <v>0</v>
      </c>
      <c r="O8" s="397">
        <v>0</v>
      </c>
      <c r="P8" s="271">
        <v>5000</v>
      </c>
      <c r="Q8" s="274">
        <f t="shared" si="2"/>
        <v>-5000</v>
      </c>
      <c r="R8" s="397">
        <v>0</v>
      </c>
      <c r="S8" s="398">
        <f t="shared" si="0"/>
        <v>0</v>
      </c>
      <c r="T8" s="500"/>
    </row>
    <row r="9" spans="1:20" s="267" customFormat="1" ht="12">
      <c r="A9" s="421" t="s">
        <v>119</v>
      </c>
      <c r="B9" s="713">
        <v>14250</v>
      </c>
      <c r="C9" s="732">
        <v>1250</v>
      </c>
      <c r="D9" s="732">
        <v>1250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654">
        <v>3750</v>
      </c>
      <c r="N9" s="468">
        <f t="shared" si="1"/>
        <v>46750</v>
      </c>
      <c r="O9" s="399">
        <v>40000</v>
      </c>
      <c r="P9" s="271">
        <v>77000</v>
      </c>
      <c r="Q9" s="274">
        <f t="shared" si="2"/>
        <v>-30250</v>
      </c>
      <c r="R9" s="399">
        <v>40000</v>
      </c>
      <c r="S9" s="398">
        <f t="shared" si="0"/>
        <v>0</v>
      </c>
      <c r="T9" s="500"/>
    </row>
    <row r="10" spans="1:20" s="267" customFormat="1" ht="15" customHeight="1">
      <c r="A10" s="420" t="s">
        <v>121</v>
      </c>
      <c r="B10" s="713">
        <v>21123.75</v>
      </c>
      <c r="C10" s="732">
        <v>8503.81</v>
      </c>
      <c r="D10" s="732">
        <f>11625-1250+7539.2</f>
        <v>17914.2</v>
      </c>
      <c r="E10" s="271">
        <v>6600</v>
      </c>
      <c r="F10" s="271">
        <v>8700</v>
      </c>
      <c r="G10" s="271">
        <v>7900</v>
      </c>
      <c r="H10" s="271">
        <v>5500</v>
      </c>
      <c r="I10" s="748">
        <v>35000</v>
      </c>
      <c r="J10" s="271">
        <v>3800</v>
      </c>
      <c r="K10" s="748">
        <v>100000</v>
      </c>
      <c r="L10" s="271">
        <v>15000</v>
      </c>
      <c r="M10" s="654">
        <v>35000</v>
      </c>
      <c r="N10" s="468">
        <f t="shared" si="1"/>
        <v>265041.76</v>
      </c>
      <c r="O10" s="397">
        <v>236600</v>
      </c>
      <c r="P10" s="271">
        <v>697365.77</v>
      </c>
      <c r="Q10" s="274">
        <f t="shared" si="2"/>
        <v>-432324.01</v>
      </c>
      <c r="R10" s="397">
        <v>236600</v>
      </c>
      <c r="S10" s="398">
        <f t="shared" si="0"/>
        <v>0</v>
      </c>
      <c r="T10" s="500"/>
    </row>
    <row r="11" spans="1:20" s="267" customFormat="1" ht="13">
      <c r="A11" s="437" t="s">
        <v>19</v>
      </c>
      <c r="B11" s="714">
        <f t="shared" ref="B11:M11" si="3">SUM(B6:B10)</f>
        <v>55373.75</v>
      </c>
      <c r="C11" s="714">
        <f t="shared" si="3"/>
        <v>9753.81</v>
      </c>
      <c r="D11" s="714">
        <f t="shared" si="3"/>
        <v>19164.2</v>
      </c>
      <c r="E11" s="276">
        <f t="shared" si="3"/>
        <v>7850</v>
      </c>
      <c r="F11" s="276">
        <f t="shared" si="3"/>
        <v>19950</v>
      </c>
      <c r="G11" s="276">
        <f t="shared" si="3"/>
        <v>15400</v>
      </c>
      <c r="H11" s="276">
        <f t="shared" si="3"/>
        <v>7850</v>
      </c>
      <c r="I11" s="276">
        <f t="shared" si="3"/>
        <v>36850</v>
      </c>
      <c r="J11" s="276">
        <f t="shared" si="3"/>
        <v>15650</v>
      </c>
      <c r="K11" s="276">
        <f t="shared" si="3"/>
        <v>101250</v>
      </c>
      <c r="L11" s="276">
        <f t="shared" si="3"/>
        <v>16250</v>
      </c>
      <c r="M11" s="655">
        <f t="shared" si="3"/>
        <v>38750</v>
      </c>
      <c r="N11" s="641">
        <f t="shared" si="1"/>
        <v>344091.76</v>
      </c>
      <c r="O11" s="440">
        <f>SUM(O6:O10)</f>
        <v>288900</v>
      </c>
      <c r="P11" s="276">
        <v>779365.77</v>
      </c>
      <c r="Q11" s="275">
        <f t="shared" si="2"/>
        <v>-435274.01</v>
      </c>
      <c r="R11" s="440">
        <f>SUM(R6:R10)</f>
        <v>323600</v>
      </c>
      <c r="S11" s="398">
        <f t="shared" si="0"/>
        <v>-34700</v>
      </c>
      <c r="T11" s="500"/>
    </row>
    <row r="12" spans="1:20" s="267" customFormat="1" ht="6" customHeight="1">
      <c r="A12" s="420"/>
      <c r="B12" s="715"/>
      <c r="C12" s="715"/>
      <c r="D12" s="715"/>
      <c r="E12" s="272"/>
      <c r="F12" s="272"/>
      <c r="G12" s="272"/>
      <c r="H12" s="272"/>
      <c r="I12" s="272"/>
      <c r="J12" s="272"/>
      <c r="K12" s="272"/>
      <c r="L12" s="272"/>
      <c r="M12" s="656"/>
      <c r="N12" s="468"/>
      <c r="O12" s="397"/>
      <c r="P12" s="133"/>
      <c r="Q12" s="274"/>
      <c r="R12" s="397"/>
      <c r="S12" s="398">
        <f t="shared" si="0"/>
        <v>0</v>
      </c>
      <c r="T12" s="500"/>
    </row>
    <row r="13" spans="1:20" s="267" customFormat="1" ht="13">
      <c r="A13" s="419" t="s">
        <v>122</v>
      </c>
      <c r="B13" s="713"/>
      <c r="C13" s="732"/>
      <c r="D13" s="732"/>
      <c r="E13" s="271"/>
      <c r="F13" s="271"/>
      <c r="G13" s="271"/>
      <c r="H13" s="271"/>
      <c r="I13" s="271"/>
      <c r="J13" s="271"/>
      <c r="K13" s="271"/>
      <c r="L13" s="271"/>
      <c r="M13" s="654"/>
      <c r="N13" s="468"/>
      <c r="O13" s="397"/>
      <c r="P13" s="271"/>
      <c r="Q13" s="274"/>
      <c r="R13" s="397"/>
      <c r="S13" s="398">
        <f t="shared" si="0"/>
        <v>0</v>
      </c>
      <c r="T13" s="500"/>
    </row>
    <row r="14" spans="1:20" s="267" customFormat="1" ht="13">
      <c r="A14" s="420" t="s">
        <v>21</v>
      </c>
      <c r="B14" s="713">
        <v>0</v>
      </c>
      <c r="C14" s="732">
        <v>0</v>
      </c>
      <c r="D14" s="732">
        <v>0</v>
      </c>
      <c r="E14" s="271">
        <v>0</v>
      </c>
      <c r="F14" s="271">
        <v>0</v>
      </c>
      <c r="G14" s="271">
        <v>0</v>
      </c>
      <c r="H14" s="746">
        <v>17000</v>
      </c>
      <c r="I14" s="746">
        <v>17000</v>
      </c>
      <c r="J14" s="746">
        <v>17000</v>
      </c>
      <c r="K14" s="746">
        <v>17000</v>
      </c>
      <c r="L14" s="271">
        <v>0</v>
      </c>
      <c r="M14" s="654">
        <f>0</f>
        <v>0</v>
      </c>
      <c r="N14" s="468">
        <f>SUM(B14:M14)</f>
        <v>68000</v>
      </c>
      <c r="O14" s="397">
        <v>102000</v>
      </c>
      <c r="P14" s="271"/>
      <c r="Q14" s="274"/>
      <c r="R14" s="523">
        <v>102000</v>
      </c>
      <c r="S14" s="398">
        <f t="shared" si="0"/>
        <v>0</v>
      </c>
      <c r="T14" s="500"/>
    </row>
    <row r="15" spans="1:20" s="267" customFormat="1" ht="13">
      <c r="A15" s="419" t="s">
        <v>124</v>
      </c>
      <c r="B15" s="713">
        <v>0</v>
      </c>
      <c r="C15" s="732">
        <f>0</f>
        <v>0</v>
      </c>
      <c r="D15" s="732">
        <v>0</v>
      </c>
      <c r="E15" s="271">
        <v>0</v>
      </c>
      <c r="F15" s="271">
        <v>0</v>
      </c>
      <c r="G15" s="271">
        <f>0</f>
        <v>0</v>
      </c>
      <c r="H15" s="746">
        <v>10000</v>
      </c>
      <c r="I15" s="746">
        <f>0</f>
        <v>0</v>
      </c>
      <c r="J15" s="746">
        <v>10000</v>
      </c>
      <c r="K15" s="746">
        <f>0</f>
        <v>0</v>
      </c>
      <c r="L15" s="271">
        <f>0</f>
        <v>0</v>
      </c>
      <c r="M15" s="654">
        <f>0</f>
        <v>0</v>
      </c>
      <c r="N15" s="468">
        <f>SUM(B15:M15)</f>
        <v>20000</v>
      </c>
      <c r="O15" s="397">
        <v>30000</v>
      </c>
      <c r="P15" s="271"/>
      <c r="Q15" s="274"/>
      <c r="R15" s="397">
        <v>30000</v>
      </c>
      <c r="S15" s="398">
        <f t="shared" si="0"/>
        <v>0</v>
      </c>
      <c r="T15" s="500"/>
    </row>
    <row r="16" spans="1:20" s="267" customFormat="1" ht="13">
      <c r="A16" s="420" t="s">
        <v>25</v>
      </c>
      <c r="B16" s="713">
        <v>0</v>
      </c>
      <c r="C16" s="732">
        <f>0</f>
        <v>0</v>
      </c>
      <c r="D16" s="732">
        <f>0</f>
        <v>0</v>
      </c>
      <c r="E16" s="271">
        <f>0</f>
        <v>0</v>
      </c>
      <c r="F16" s="271">
        <v>0</v>
      </c>
      <c r="G16" s="278">
        <f>0</f>
        <v>0</v>
      </c>
      <c r="H16" s="746">
        <f>0</f>
        <v>0</v>
      </c>
      <c r="I16" s="746">
        <f>0</f>
        <v>0</v>
      </c>
      <c r="J16" s="746">
        <f>0</f>
        <v>0</v>
      </c>
      <c r="K16" s="746">
        <f>0</f>
        <v>0</v>
      </c>
      <c r="L16" s="271">
        <f>0</f>
        <v>0</v>
      </c>
      <c r="M16" s="654">
        <f>0</f>
        <v>0</v>
      </c>
      <c r="N16" s="468">
        <f>SUM(B16:M16)</f>
        <v>0</v>
      </c>
      <c r="O16" s="397">
        <v>0</v>
      </c>
      <c r="P16" s="271"/>
      <c r="Q16" s="274"/>
      <c r="R16" s="397">
        <v>0</v>
      </c>
      <c r="S16" s="398">
        <f t="shared" si="0"/>
        <v>0</v>
      </c>
      <c r="T16" s="500"/>
    </row>
    <row r="17" spans="1:20" s="368" customFormat="1" ht="13">
      <c r="A17" s="419" t="s">
        <v>125</v>
      </c>
      <c r="B17" s="714">
        <f>SUM(B14:B16)</f>
        <v>0</v>
      </c>
      <c r="C17" s="714">
        <f t="shared" ref="C17:M17" si="4">SUM(C14:C16)</f>
        <v>0</v>
      </c>
      <c r="D17" s="714">
        <f t="shared" si="4"/>
        <v>0</v>
      </c>
      <c r="E17" s="276">
        <f t="shared" si="4"/>
        <v>0</v>
      </c>
      <c r="F17" s="276">
        <f t="shared" si="4"/>
        <v>0</v>
      </c>
      <c r="G17" s="276">
        <f t="shared" si="4"/>
        <v>0</v>
      </c>
      <c r="H17" s="747">
        <f t="shared" si="4"/>
        <v>27000</v>
      </c>
      <c r="I17" s="747">
        <f t="shared" si="4"/>
        <v>17000</v>
      </c>
      <c r="J17" s="747">
        <f t="shared" si="4"/>
        <v>27000</v>
      </c>
      <c r="K17" s="747">
        <f t="shared" si="4"/>
        <v>17000</v>
      </c>
      <c r="L17" s="276">
        <f t="shared" si="4"/>
        <v>0</v>
      </c>
      <c r="M17" s="655">
        <f t="shared" si="4"/>
        <v>0</v>
      </c>
      <c r="N17" s="750">
        <f>SUM(B17:M17)</f>
        <v>88000</v>
      </c>
      <c r="O17" s="440">
        <f>SUM(O14:O16)</f>
        <v>132000</v>
      </c>
      <c r="P17" s="276"/>
      <c r="Q17" s="276"/>
      <c r="R17" s="440">
        <f>SUM(R14:R16)</f>
        <v>132000</v>
      </c>
      <c r="S17" s="398">
        <f t="shared" si="0"/>
        <v>0</v>
      </c>
      <c r="T17" s="502"/>
    </row>
    <row r="18" spans="1:20" s="267" customFormat="1" ht="6" customHeight="1">
      <c r="A18" s="420"/>
      <c r="B18" s="715"/>
      <c r="C18" s="715"/>
      <c r="D18" s="715"/>
      <c r="E18" s="272"/>
      <c r="F18" s="272"/>
      <c r="G18" s="272"/>
      <c r="H18" s="272"/>
      <c r="I18" s="272"/>
      <c r="J18" s="272"/>
      <c r="K18" s="272"/>
      <c r="L18" s="272"/>
      <c r="M18" s="656"/>
      <c r="N18" s="468"/>
      <c r="O18" s="397"/>
      <c r="P18" s="272"/>
      <c r="Q18" s="274"/>
      <c r="R18" s="397"/>
      <c r="S18" s="398">
        <f t="shared" si="0"/>
        <v>0</v>
      </c>
      <c r="T18" s="500"/>
    </row>
    <row r="19" spans="1:20" s="267" customFormat="1" ht="13">
      <c r="A19" s="419" t="s">
        <v>27</v>
      </c>
      <c r="B19" s="713"/>
      <c r="C19" s="732"/>
      <c r="D19" s="732"/>
      <c r="E19" s="271"/>
      <c r="F19" s="271"/>
      <c r="G19" s="271"/>
      <c r="H19" s="271"/>
      <c r="I19" s="271"/>
      <c r="J19" s="271"/>
      <c r="K19" s="271"/>
      <c r="L19" s="271"/>
      <c r="M19" s="654"/>
      <c r="N19" s="468"/>
      <c r="O19" s="397"/>
      <c r="P19" s="271"/>
      <c r="Q19" s="274"/>
      <c r="R19" s="397"/>
      <c r="S19" s="398">
        <f t="shared" si="0"/>
        <v>0</v>
      </c>
      <c r="T19" s="500"/>
    </row>
    <row r="20" spans="1:20" s="267" customFormat="1" ht="13">
      <c r="A20" s="420" t="s">
        <v>126</v>
      </c>
      <c r="B20" s="713">
        <f>0</f>
        <v>0</v>
      </c>
      <c r="C20" s="732">
        <f>0</f>
        <v>0</v>
      </c>
      <c r="D20" s="732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654">
        <f>0</f>
        <v>0</v>
      </c>
      <c r="N20" s="468">
        <f>SUM(B20:M20)</f>
        <v>0</v>
      </c>
      <c r="O20" s="397">
        <v>0</v>
      </c>
      <c r="P20" s="271">
        <v>-651.64999999999986</v>
      </c>
      <c r="Q20" s="274">
        <f t="shared" si="2"/>
        <v>651.64999999999986</v>
      </c>
      <c r="R20" s="397">
        <v>0</v>
      </c>
      <c r="S20" s="398">
        <f t="shared" si="0"/>
        <v>0</v>
      </c>
      <c r="T20" s="500"/>
    </row>
    <row r="21" spans="1:20" s="267" customFormat="1" ht="13">
      <c r="A21" s="420" t="s">
        <v>127</v>
      </c>
      <c r="B21" s="716">
        <v>42.03</v>
      </c>
      <c r="C21" s="716">
        <v>37.43</v>
      </c>
      <c r="D21" s="716">
        <v>38.659999999999997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707">
        <v>0</v>
      </c>
      <c r="N21" s="468">
        <f>SUM(B21:M21)</f>
        <v>118.12</v>
      </c>
      <c r="O21" s="397">
        <v>4200</v>
      </c>
      <c r="P21" s="274"/>
      <c r="Q21" s="274">
        <f t="shared" si="2"/>
        <v>118.12</v>
      </c>
      <c r="R21" s="397">
        <v>4200</v>
      </c>
      <c r="S21" s="398">
        <f t="shared" si="0"/>
        <v>0</v>
      </c>
      <c r="T21" s="500"/>
    </row>
    <row r="22" spans="1:20" s="267" customFormat="1" ht="13">
      <c r="A22" s="420" t="s">
        <v>128</v>
      </c>
      <c r="B22" s="713"/>
      <c r="C22" s="733"/>
      <c r="D22" s="733"/>
      <c r="E22" s="273"/>
      <c r="F22" s="273"/>
      <c r="G22" s="273"/>
      <c r="H22" s="273"/>
      <c r="I22" s="273"/>
      <c r="J22" s="273"/>
      <c r="K22" s="273"/>
      <c r="L22" s="273"/>
      <c r="M22" s="657"/>
      <c r="N22" s="468">
        <f>SUM(B22:M22)</f>
        <v>0</v>
      </c>
      <c r="O22" s="397">
        <v>0</v>
      </c>
      <c r="P22" s="274"/>
      <c r="Q22" s="274">
        <f t="shared" si="2"/>
        <v>0</v>
      </c>
      <c r="R22" s="397">
        <v>0</v>
      </c>
      <c r="S22" s="398">
        <f t="shared" si="0"/>
        <v>0</v>
      </c>
      <c r="T22" s="500"/>
    </row>
    <row r="23" spans="1:20" s="267" customFormat="1" ht="13">
      <c r="A23" s="422" t="s">
        <v>29</v>
      </c>
      <c r="B23" s="714">
        <f>SUM(B19:B22)</f>
        <v>42.03</v>
      </c>
      <c r="C23" s="714">
        <f>SUM(C20:C22)</f>
        <v>37.43</v>
      </c>
      <c r="D23" s="714">
        <f t="shared" ref="D23:M23" si="5">SUM(D20:D22)</f>
        <v>38.659999999999997</v>
      </c>
      <c r="E23" s="276">
        <f t="shared" si="5"/>
        <v>0</v>
      </c>
      <c r="F23" s="276">
        <f t="shared" si="5"/>
        <v>0</v>
      </c>
      <c r="G23" s="276">
        <f t="shared" si="5"/>
        <v>0</v>
      </c>
      <c r="H23" s="276">
        <f>SUM(H19:H22)</f>
        <v>0</v>
      </c>
      <c r="I23" s="276">
        <f t="shared" si="5"/>
        <v>0</v>
      </c>
      <c r="J23" s="276">
        <f t="shared" si="5"/>
        <v>0</v>
      </c>
      <c r="K23" s="276">
        <f t="shared" si="5"/>
        <v>0</v>
      </c>
      <c r="L23" s="276">
        <f t="shared" si="5"/>
        <v>0</v>
      </c>
      <c r="M23" s="655">
        <f t="shared" si="5"/>
        <v>0</v>
      </c>
      <c r="N23" s="641">
        <f>SUM(B23:M23)</f>
        <v>118.12</v>
      </c>
      <c r="O23" s="440">
        <f>SUM(O20:O22)</f>
        <v>4200</v>
      </c>
      <c r="P23" s="276">
        <v>-651.64999999999986</v>
      </c>
      <c r="Q23" s="276">
        <f t="shared" si="2"/>
        <v>769.76999999999987</v>
      </c>
      <c r="R23" s="440">
        <f>SUM(R20:R22)</f>
        <v>4200</v>
      </c>
      <c r="S23" s="398">
        <f t="shared" si="0"/>
        <v>0</v>
      </c>
      <c r="T23" s="500"/>
    </row>
    <row r="24" spans="1:20" s="267" customFormat="1" ht="6" customHeight="1">
      <c r="A24" s="420"/>
      <c r="B24" s="715"/>
      <c r="C24" s="715"/>
      <c r="D24" s="715"/>
      <c r="E24" s="272"/>
      <c r="F24" s="272"/>
      <c r="G24" s="272"/>
      <c r="H24" s="272"/>
      <c r="I24" s="272"/>
      <c r="J24" s="272"/>
      <c r="K24" s="272"/>
      <c r="L24" s="272"/>
      <c r="M24" s="656"/>
      <c r="N24" s="468"/>
      <c r="O24" s="397"/>
      <c r="P24" s="133"/>
      <c r="Q24" s="133"/>
      <c r="R24" s="133"/>
      <c r="S24" s="398">
        <f t="shared" si="0"/>
        <v>0</v>
      </c>
      <c r="T24" s="500"/>
    </row>
    <row r="25" spans="1:20" s="267" customFormat="1" ht="13">
      <c r="A25" s="419" t="s">
        <v>30</v>
      </c>
      <c r="B25" s="713"/>
      <c r="C25" s="732"/>
      <c r="D25" s="732"/>
      <c r="E25" s="271"/>
      <c r="F25" s="271"/>
      <c r="G25" s="271"/>
      <c r="H25" s="271"/>
      <c r="I25" s="271"/>
      <c r="J25" s="271"/>
      <c r="K25" s="271"/>
      <c r="L25" s="271"/>
      <c r="M25" s="654"/>
      <c r="N25" s="468"/>
      <c r="O25" s="397"/>
      <c r="P25" s="133"/>
      <c r="Q25" s="133"/>
      <c r="R25" s="133"/>
      <c r="S25" s="398">
        <f t="shared" si="0"/>
        <v>0</v>
      </c>
      <c r="T25" s="500"/>
    </row>
    <row r="26" spans="1:20" s="267" customFormat="1" ht="13">
      <c r="A26" s="420" t="s">
        <v>31</v>
      </c>
      <c r="B26" s="713">
        <v>6.84</v>
      </c>
      <c r="C26" s="732">
        <v>0</v>
      </c>
      <c r="D26" s="732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654">
        <v>0</v>
      </c>
      <c r="N26" s="468">
        <f t="shared" ref="N26:N44" si="6">SUM(B26:M26)</f>
        <v>6.84</v>
      </c>
      <c r="O26" s="397">
        <v>0</v>
      </c>
      <c r="P26" s="271">
        <v>6.1899999999999995</v>
      </c>
      <c r="Q26" s="274">
        <f>N26-P26</f>
        <v>0.65000000000000036</v>
      </c>
      <c r="R26" s="397">
        <v>0</v>
      </c>
      <c r="S26" s="398">
        <f t="shared" si="0"/>
        <v>0</v>
      </c>
      <c r="T26" s="500"/>
    </row>
    <row r="27" spans="1:20" s="267" customFormat="1" ht="13">
      <c r="A27" s="420" t="s">
        <v>129</v>
      </c>
      <c r="B27" s="713">
        <v>0</v>
      </c>
      <c r="C27" s="732">
        <v>10.48</v>
      </c>
      <c r="D27" s="732">
        <v>11.1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654">
        <v>0</v>
      </c>
      <c r="N27" s="468">
        <f t="shared" si="6"/>
        <v>21.58</v>
      </c>
      <c r="O27" s="397">
        <v>0</v>
      </c>
      <c r="P27" s="271">
        <v>288.74999999999994</v>
      </c>
      <c r="Q27" s="274">
        <f t="shared" ref="Q27:Q44" si="7">N27-P27</f>
        <v>-267.16999999999996</v>
      </c>
      <c r="R27" s="397">
        <v>0</v>
      </c>
      <c r="S27" s="398">
        <f t="shared" si="0"/>
        <v>0</v>
      </c>
      <c r="T27" s="500"/>
    </row>
    <row r="28" spans="1:20" s="267" customFormat="1" ht="13">
      <c r="A28" s="420" t="s">
        <v>130</v>
      </c>
      <c r="B28" s="713">
        <v>0</v>
      </c>
      <c r="C28" s="713">
        <v>0</v>
      </c>
      <c r="D28" s="713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654">
        <v>0</v>
      </c>
      <c r="N28" s="468">
        <f t="shared" si="6"/>
        <v>0</v>
      </c>
      <c r="O28" s="397">
        <v>0</v>
      </c>
      <c r="P28" s="271"/>
      <c r="Q28" s="274">
        <f t="shared" si="7"/>
        <v>0</v>
      </c>
      <c r="R28" s="397">
        <v>0</v>
      </c>
      <c r="S28" s="398">
        <f t="shared" si="0"/>
        <v>0</v>
      </c>
      <c r="T28" s="500"/>
    </row>
    <row r="29" spans="1:20" s="267" customFormat="1" ht="13" hidden="1">
      <c r="A29" s="420" t="s">
        <v>131</v>
      </c>
      <c r="B29" s="713"/>
      <c r="C29" s="732"/>
      <c r="D29" s="732"/>
      <c r="E29" s="271"/>
      <c r="F29" s="271"/>
      <c r="G29" s="271"/>
      <c r="H29" s="271"/>
      <c r="I29" s="271"/>
      <c r="J29" s="271"/>
      <c r="K29" s="271"/>
      <c r="L29" s="271"/>
      <c r="M29" s="654"/>
      <c r="N29" s="468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397">
        <v>0</v>
      </c>
      <c r="S29" s="398">
        <f t="shared" si="0"/>
        <v>0</v>
      </c>
      <c r="T29" s="500"/>
    </row>
    <row r="30" spans="1:20" s="267" customFormat="1" ht="13" hidden="1">
      <c r="A30" s="420" t="s">
        <v>132</v>
      </c>
      <c r="B30" s="713"/>
      <c r="C30" s="732"/>
      <c r="D30" s="732"/>
      <c r="E30" s="271"/>
      <c r="F30" s="271"/>
      <c r="G30" s="271"/>
      <c r="H30" s="271"/>
      <c r="I30" s="271"/>
      <c r="J30" s="271"/>
      <c r="K30" s="271"/>
      <c r="L30" s="271"/>
      <c r="M30" s="654"/>
      <c r="N30" s="468">
        <f t="shared" si="6"/>
        <v>0</v>
      </c>
      <c r="O30" s="397">
        <v>0</v>
      </c>
      <c r="P30" s="271">
        <v>0</v>
      </c>
      <c r="Q30" s="274">
        <f t="shared" si="7"/>
        <v>0</v>
      </c>
      <c r="R30" s="397">
        <v>0</v>
      </c>
      <c r="S30" s="398">
        <f t="shared" si="0"/>
        <v>0</v>
      </c>
      <c r="T30" s="500"/>
    </row>
    <row r="31" spans="1:20" s="267" customFormat="1" ht="13" hidden="1">
      <c r="A31" s="420" t="s">
        <v>133</v>
      </c>
      <c r="B31" s="713"/>
      <c r="C31" s="732"/>
      <c r="D31" s="732"/>
      <c r="E31" s="271"/>
      <c r="F31" s="271"/>
      <c r="G31" s="271"/>
      <c r="H31" s="271"/>
      <c r="I31" s="271"/>
      <c r="J31" s="271"/>
      <c r="K31" s="271"/>
      <c r="L31" s="271"/>
      <c r="M31" s="654"/>
      <c r="N31" s="468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397">
        <v>0</v>
      </c>
      <c r="S31" s="398">
        <f t="shared" si="0"/>
        <v>0</v>
      </c>
      <c r="T31" s="500"/>
    </row>
    <row r="32" spans="1:20" s="267" customFormat="1" ht="13">
      <c r="A32" s="420" t="s">
        <v>39</v>
      </c>
      <c r="B32" s="713"/>
      <c r="C32" s="713"/>
      <c r="D32" s="713"/>
      <c r="E32" s="278"/>
      <c r="F32" s="278"/>
      <c r="G32" s="278"/>
      <c r="H32" s="278"/>
      <c r="I32" s="278"/>
      <c r="J32" s="278"/>
      <c r="K32" s="278"/>
      <c r="L32" s="278"/>
      <c r="M32" s="654"/>
      <c r="N32" s="468"/>
      <c r="O32" s="397"/>
      <c r="P32" s="271">
        <v>99794.28</v>
      </c>
      <c r="Q32" s="274">
        <f t="shared" si="7"/>
        <v>-99794.28</v>
      </c>
      <c r="R32" s="397"/>
      <c r="S32" s="398">
        <f t="shared" si="0"/>
        <v>0</v>
      </c>
      <c r="T32" s="500"/>
    </row>
    <row r="33" spans="1:23" s="527" customFormat="1" ht="39">
      <c r="A33" s="519" t="s">
        <v>134</v>
      </c>
      <c r="B33" s="717">
        <v>0</v>
      </c>
      <c r="C33" s="717">
        <v>0</v>
      </c>
      <c r="D33" s="717">
        <v>0</v>
      </c>
      <c r="E33" s="520">
        <v>0</v>
      </c>
      <c r="F33" s="520">
        <v>0</v>
      </c>
      <c r="G33" s="520">
        <v>0</v>
      </c>
      <c r="H33" s="520">
        <v>0</v>
      </c>
      <c r="I33" s="520">
        <v>0</v>
      </c>
      <c r="J33" s="520">
        <v>0</v>
      </c>
      <c r="K33" s="520">
        <v>0</v>
      </c>
      <c r="L33" s="520">
        <v>0</v>
      </c>
      <c r="M33" s="658">
        <v>0</v>
      </c>
      <c r="N33" s="642">
        <f t="shared" ref="N33:N38" si="8">SUM(B33:M33)</f>
        <v>0</v>
      </c>
      <c r="O33" s="523">
        <v>1800</v>
      </c>
      <c r="P33" s="521"/>
      <c r="Q33" s="524"/>
      <c r="R33" s="523">
        <v>7200</v>
      </c>
      <c r="S33" s="525">
        <f t="shared" si="0"/>
        <v>-5400</v>
      </c>
      <c r="T33" s="526" t="s">
        <v>240</v>
      </c>
    </row>
    <row r="34" spans="1:23" s="527" customFormat="1" ht="39">
      <c r="A34" s="519" t="s">
        <v>135</v>
      </c>
      <c r="B34" s="717">
        <v>0</v>
      </c>
      <c r="C34" s="717">
        <v>0</v>
      </c>
      <c r="D34" s="717">
        <v>0</v>
      </c>
      <c r="E34" s="520">
        <v>0</v>
      </c>
      <c r="F34" s="520">
        <v>0</v>
      </c>
      <c r="G34" s="520">
        <v>0</v>
      </c>
      <c r="H34" s="520">
        <v>0</v>
      </c>
      <c r="I34" s="520">
        <v>0</v>
      </c>
      <c r="J34" s="520">
        <v>0</v>
      </c>
      <c r="K34" s="520">
        <v>0</v>
      </c>
      <c r="L34" s="520">
        <v>0</v>
      </c>
      <c r="M34" s="658">
        <v>0</v>
      </c>
      <c r="N34" s="642">
        <f t="shared" si="8"/>
        <v>0</v>
      </c>
      <c r="O34" s="523">
        <v>3000</v>
      </c>
      <c r="P34" s="521"/>
      <c r="Q34" s="524"/>
      <c r="R34" s="523">
        <v>25200</v>
      </c>
      <c r="S34" s="525">
        <f t="shared" si="0"/>
        <v>-22200</v>
      </c>
      <c r="T34" s="526" t="s">
        <v>241</v>
      </c>
    </row>
    <row r="35" spans="1:23" s="527" customFormat="1" ht="86" customHeight="1">
      <c r="A35" s="519" t="s">
        <v>136</v>
      </c>
      <c r="B35" s="718">
        <f>Assumptions!B6</f>
        <v>0</v>
      </c>
      <c r="C35" s="718">
        <v>2660</v>
      </c>
      <c r="D35" s="718">
        <v>1235</v>
      </c>
      <c r="E35" s="744" t="e">
        <f>#REF!</f>
        <v>#REF!</v>
      </c>
      <c r="F35" s="744" t="e">
        <f>#REF!</f>
        <v>#REF!</v>
      </c>
      <c r="G35" s="744" t="e">
        <f>#REF!</f>
        <v>#REF!</v>
      </c>
      <c r="H35" s="744" t="e">
        <f>#REF!</f>
        <v>#REF!</v>
      </c>
      <c r="I35" s="744" t="e">
        <f>#REF!</f>
        <v>#REF!</v>
      </c>
      <c r="J35" s="744" t="e">
        <f>#REF!</f>
        <v>#REF!</v>
      </c>
      <c r="K35" s="744" t="e">
        <f>#REF!</f>
        <v>#REF!</v>
      </c>
      <c r="L35" s="744" t="e">
        <f>#REF!</f>
        <v>#REF!</v>
      </c>
      <c r="M35" s="745" t="e">
        <f>#REF!</f>
        <v>#REF!</v>
      </c>
      <c r="N35" s="642" t="e">
        <f t="shared" si="8"/>
        <v>#REF!</v>
      </c>
      <c r="O35" s="523">
        <v>155000</v>
      </c>
      <c r="P35" s="521"/>
      <c r="Q35" s="524"/>
      <c r="R35" s="523">
        <v>1706000</v>
      </c>
      <c r="S35" s="525">
        <f t="shared" si="0"/>
        <v>-1551000</v>
      </c>
      <c r="T35" s="526" t="s">
        <v>242</v>
      </c>
    </row>
    <row r="36" spans="1:23" s="267" customFormat="1" ht="13">
      <c r="A36" s="420" t="s">
        <v>137</v>
      </c>
      <c r="B36" s="713"/>
      <c r="C36" s="713">
        <v>0</v>
      </c>
      <c r="D36" s="713">
        <v>0</v>
      </c>
      <c r="E36" s="677">
        <f>'Lean Assumptions'!E8</f>
        <v>2280</v>
      </c>
      <c r="F36" s="677">
        <f>'Lean Assumptions'!F8</f>
        <v>2280</v>
      </c>
      <c r="G36" s="677">
        <f>'Lean Assumptions'!G8</f>
        <v>2280</v>
      </c>
      <c r="H36" s="677">
        <f>'Lean Assumptions'!H8</f>
        <v>2280</v>
      </c>
      <c r="I36" s="677">
        <f>'Lean Assumptions'!I8</f>
        <v>2280</v>
      </c>
      <c r="J36" s="677">
        <f>'Lean Assumptions'!J8</f>
        <v>2280</v>
      </c>
      <c r="K36" s="677">
        <f>'Lean Assumptions'!K8</f>
        <v>2280</v>
      </c>
      <c r="L36" s="677">
        <f>'Lean Assumptions'!L8</f>
        <v>2280</v>
      </c>
      <c r="M36" s="745">
        <f>'Lean Assumptions'!M8</f>
        <v>2280</v>
      </c>
      <c r="N36" s="468">
        <f>SUM(B36:M36)</f>
        <v>20520</v>
      </c>
      <c r="O36" s="397">
        <v>36000</v>
      </c>
      <c r="P36" s="271">
        <v>15873</v>
      </c>
      <c r="Q36" s="274">
        <f t="shared" si="7"/>
        <v>4647</v>
      </c>
      <c r="R36" s="397">
        <v>151200</v>
      </c>
      <c r="S36" s="398">
        <f t="shared" si="0"/>
        <v>-115200</v>
      </c>
      <c r="T36" s="500"/>
    </row>
    <row r="37" spans="1:23" s="527" customFormat="1" ht="26">
      <c r="A37" s="519" t="s">
        <v>243</v>
      </c>
      <c r="B37" s="717">
        <v>6296</v>
      </c>
      <c r="C37" s="717">
        <v>7385</v>
      </c>
      <c r="D37" s="717">
        <v>3448.5</v>
      </c>
      <c r="E37" s="520">
        <v>1500</v>
      </c>
      <c r="F37" s="520">
        <v>1500</v>
      </c>
      <c r="G37" s="520">
        <v>0</v>
      </c>
      <c r="H37" s="520">
        <v>0</v>
      </c>
      <c r="I37" s="521">
        <v>0</v>
      </c>
      <c r="J37" s="521">
        <v>0</v>
      </c>
      <c r="K37" s="521">
        <v>0</v>
      </c>
      <c r="L37" s="521">
        <v>0</v>
      </c>
      <c r="M37" s="658">
        <v>0</v>
      </c>
      <c r="N37" s="642">
        <f t="shared" si="8"/>
        <v>20129.5</v>
      </c>
      <c r="O37" s="523">
        <v>11000</v>
      </c>
      <c r="P37" s="521"/>
      <c r="Q37" s="524"/>
      <c r="R37" s="523">
        <v>174000</v>
      </c>
      <c r="S37" s="525">
        <f t="shared" si="0"/>
        <v>-163000</v>
      </c>
      <c r="T37" s="526" t="s">
        <v>244</v>
      </c>
    </row>
    <row r="38" spans="1:23" s="267" customFormat="1" ht="13">
      <c r="A38" s="420" t="s">
        <v>139</v>
      </c>
      <c r="B38" s="713">
        <v>0</v>
      </c>
      <c r="C38" s="713">
        <v>0</v>
      </c>
      <c r="D38" s="713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654">
        <v>0</v>
      </c>
      <c r="N38" s="468">
        <f t="shared" si="8"/>
        <v>0</v>
      </c>
      <c r="O38" s="397">
        <v>0</v>
      </c>
      <c r="P38" s="271"/>
      <c r="Q38" s="274">
        <f>N38-P38</f>
        <v>0</v>
      </c>
      <c r="R38" s="397">
        <v>0</v>
      </c>
      <c r="S38" s="398">
        <f t="shared" si="0"/>
        <v>0</v>
      </c>
      <c r="T38" s="500"/>
    </row>
    <row r="39" spans="1:23" s="267" customFormat="1" ht="12">
      <c r="A39" s="420"/>
      <c r="B39" s="713"/>
      <c r="C39" s="732"/>
      <c r="D39" s="732"/>
      <c r="E39" s="271"/>
      <c r="F39" s="271"/>
      <c r="G39" s="271"/>
      <c r="H39" s="271"/>
      <c r="I39" s="271"/>
      <c r="J39" s="271"/>
      <c r="K39" s="271"/>
      <c r="L39" s="271"/>
      <c r="M39" s="654"/>
      <c r="N39" s="468"/>
      <c r="O39" s="397"/>
      <c r="P39" s="271"/>
      <c r="Q39" s="274"/>
      <c r="R39" s="397"/>
      <c r="S39" s="398">
        <f t="shared" si="0"/>
        <v>0</v>
      </c>
      <c r="T39" s="500"/>
    </row>
    <row r="40" spans="1:23" s="267" customFormat="1" ht="13">
      <c r="A40" s="420" t="s">
        <v>140</v>
      </c>
      <c r="B40" s="719">
        <v>0</v>
      </c>
      <c r="C40" s="713">
        <v>0</v>
      </c>
      <c r="D40" s="732">
        <v>0</v>
      </c>
      <c r="E40" s="271">
        <v>0</v>
      </c>
      <c r="F40" s="271">
        <v>-10000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0</v>
      </c>
      <c r="M40" s="654">
        <v>0</v>
      </c>
      <c r="N40" s="468">
        <f>SUM(B40:M40)</f>
        <v>-10000</v>
      </c>
      <c r="O40" s="397">
        <v>-20000</v>
      </c>
      <c r="P40" s="271"/>
      <c r="Q40" s="274"/>
      <c r="R40" s="397">
        <v>-20000</v>
      </c>
      <c r="S40" s="398">
        <f t="shared" si="0"/>
        <v>0</v>
      </c>
      <c r="T40" s="500"/>
    </row>
    <row r="41" spans="1:23" s="267" customFormat="1" ht="13">
      <c r="A41" s="420" t="s">
        <v>141</v>
      </c>
      <c r="B41" s="713">
        <v>0</v>
      </c>
      <c r="C41" s="713">
        <v>0</v>
      </c>
      <c r="D41" s="713">
        <v>0</v>
      </c>
      <c r="E41" s="278">
        <v>0</v>
      </c>
      <c r="F41" s="271">
        <v>0</v>
      </c>
      <c r="G41" s="730">
        <v>0</v>
      </c>
      <c r="H41" s="271">
        <v>0</v>
      </c>
      <c r="I41" s="271">
        <v>0</v>
      </c>
      <c r="J41" s="730">
        <v>0</v>
      </c>
      <c r="K41" s="271">
        <v>0</v>
      </c>
      <c r="L41" s="271">
        <v>0</v>
      </c>
      <c r="M41" s="730">
        <v>0</v>
      </c>
      <c r="N41" s="468">
        <f t="shared" si="6"/>
        <v>0</v>
      </c>
      <c r="O41" s="397">
        <v>22500</v>
      </c>
      <c r="P41" s="271"/>
      <c r="Q41" s="274">
        <f t="shared" si="7"/>
        <v>0</v>
      </c>
      <c r="R41" s="397">
        <v>22500</v>
      </c>
      <c r="S41" s="398">
        <f t="shared" si="0"/>
        <v>0</v>
      </c>
      <c r="T41" s="500"/>
    </row>
    <row r="42" spans="1:23" s="267" customFormat="1" ht="13">
      <c r="A42" s="420" t="s">
        <v>142</v>
      </c>
      <c r="B42" s="713">
        <v>0</v>
      </c>
      <c r="C42" s="713">
        <v>0</v>
      </c>
      <c r="D42" s="713">
        <v>0</v>
      </c>
      <c r="E42" s="278">
        <v>0</v>
      </c>
      <c r="F42" s="278">
        <v>0</v>
      </c>
      <c r="G42" s="278">
        <v>0</v>
      </c>
      <c r="H42" s="278">
        <v>0</v>
      </c>
      <c r="I42" s="278">
        <v>0</v>
      </c>
      <c r="J42" s="278">
        <v>300</v>
      </c>
      <c r="K42" s="278">
        <v>300</v>
      </c>
      <c r="L42" s="278">
        <v>300</v>
      </c>
      <c r="M42" s="654">
        <v>300</v>
      </c>
      <c r="N42" s="443">
        <f>SUM(B42:M42)</f>
        <v>1200</v>
      </c>
      <c r="O42" s="397">
        <v>1200</v>
      </c>
      <c r="P42" s="278"/>
      <c r="Q42" s="286"/>
      <c r="R42" s="397">
        <v>8200</v>
      </c>
      <c r="S42" s="398">
        <f t="shared" si="0"/>
        <v>-7000</v>
      </c>
      <c r="T42" s="503"/>
      <c r="U42" s="369"/>
      <c r="V42" s="369"/>
      <c r="W42" s="369"/>
    </row>
    <row r="43" spans="1:23" s="267" customFormat="1" ht="13">
      <c r="A43" s="420" t="s">
        <v>41</v>
      </c>
      <c r="B43" s="713">
        <f>0</f>
        <v>0</v>
      </c>
      <c r="C43" s="732">
        <f>0</f>
        <v>0</v>
      </c>
      <c r="D43" s="732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654">
        <f>0</f>
        <v>0</v>
      </c>
      <c r="N43" s="468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397">
        <v>0</v>
      </c>
      <c r="S43" s="398">
        <f t="shared" si="0"/>
        <v>0</v>
      </c>
      <c r="T43" s="500"/>
    </row>
    <row r="44" spans="1:23" s="438" customFormat="1" ht="13">
      <c r="A44" s="437" t="s">
        <v>42</v>
      </c>
      <c r="B44" s="714">
        <f t="shared" ref="B44:M44" si="9">SUM(B26:B43)</f>
        <v>6302.84</v>
      </c>
      <c r="C44" s="714">
        <f t="shared" si="9"/>
        <v>10055.48</v>
      </c>
      <c r="D44" s="714">
        <f t="shared" si="9"/>
        <v>4694.6000000000004</v>
      </c>
      <c r="E44" s="276" t="e">
        <f t="shared" si="9"/>
        <v>#REF!</v>
      </c>
      <c r="F44" s="276" t="e">
        <f t="shared" si="9"/>
        <v>#REF!</v>
      </c>
      <c r="G44" s="276" t="e">
        <f t="shared" si="9"/>
        <v>#REF!</v>
      </c>
      <c r="H44" s="276" t="e">
        <f t="shared" si="9"/>
        <v>#REF!</v>
      </c>
      <c r="I44" s="276" t="e">
        <f t="shared" si="9"/>
        <v>#REF!</v>
      </c>
      <c r="J44" s="276" t="e">
        <f t="shared" si="9"/>
        <v>#REF!</v>
      </c>
      <c r="K44" s="276" t="e">
        <f t="shared" si="9"/>
        <v>#REF!</v>
      </c>
      <c r="L44" s="276" t="e">
        <f t="shared" si="9"/>
        <v>#REF!</v>
      </c>
      <c r="M44" s="655" t="e">
        <f t="shared" si="9"/>
        <v>#REF!</v>
      </c>
      <c r="N44" s="641" t="e">
        <f t="shared" si="6"/>
        <v>#REF!</v>
      </c>
      <c r="O44" s="440">
        <f>SUM(O26:O43)</f>
        <v>210500</v>
      </c>
      <c r="P44" s="276">
        <v>401062.26</v>
      </c>
      <c r="Q44" s="276" t="e">
        <f t="shared" si="7"/>
        <v>#REF!</v>
      </c>
      <c r="R44" s="440">
        <f>SUM(R26:R43)</f>
        <v>2074300</v>
      </c>
      <c r="S44" s="398">
        <f t="shared" si="0"/>
        <v>-1863800</v>
      </c>
      <c r="T44" s="504"/>
    </row>
    <row r="45" spans="1:23" s="267" customFormat="1" ht="6" customHeight="1">
      <c r="A45" s="419"/>
      <c r="B45" s="715"/>
      <c r="C45" s="715"/>
      <c r="D45" s="715"/>
      <c r="E45" s="272"/>
      <c r="F45" s="272"/>
      <c r="G45" s="272"/>
      <c r="H45" s="272"/>
      <c r="I45" s="272"/>
      <c r="J45" s="272"/>
      <c r="K45" s="272"/>
      <c r="L45" s="272"/>
      <c r="M45" s="656"/>
      <c r="N45" s="468"/>
      <c r="O45" s="397"/>
      <c r="P45" s="133"/>
      <c r="Q45" s="133"/>
      <c r="R45" s="397"/>
      <c r="S45" s="398">
        <f t="shared" si="0"/>
        <v>0</v>
      </c>
      <c r="T45" s="500"/>
    </row>
    <row r="46" spans="1:23" s="267" customFormat="1" ht="13">
      <c r="A46" s="420" t="s">
        <v>43</v>
      </c>
      <c r="B46" s="713">
        <v>0</v>
      </c>
      <c r="C46" s="713">
        <v>0</v>
      </c>
      <c r="D46" s="713">
        <v>0</v>
      </c>
      <c r="E46" s="278">
        <v>0</v>
      </c>
      <c r="F46" s="278">
        <v>0</v>
      </c>
      <c r="G46" s="278">
        <v>0</v>
      </c>
      <c r="H46" s="278">
        <v>0</v>
      </c>
      <c r="I46" s="278">
        <v>0</v>
      </c>
      <c r="J46" s="278">
        <v>0</v>
      </c>
      <c r="K46" s="278">
        <v>0</v>
      </c>
      <c r="L46" s="278">
        <v>0</v>
      </c>
      <c r="M46" s="654">
        <v>0</v>
      </c>
      <c r="N46" s="468">
        <f>SUM(B46:M46)</f>
        <v>0</v>
      </c>
      <c r="O46" s="399">
        <v>0</v>
      </c>
      <c r="P46" s="271">
        <v>0</v>
      </c>
      <c r="Q46" s="274">
        <f>N46-P46</f>
        <v>0</v>
      </c>
      <c r="R46" s="399">
        <v>-62000</v>
      </c>
      <c r="S46" s="398">
        <f t="shared" si="0"/>
        <v>62000</v>
      </c>
      <c r="T46" s="500" t="s">
        <v>220</v>
      </c>
    </row>
    <row r="47" spans="1:23" s="267" customFormat="1" ht="14" thickBot="1">
      <c r="A47" s="420" t="s">
        <v>143</v>
      </c>
      <c r="B47" s="713">
        <f>0</f>
        <v>0</v>
      </c>
      <c r="C47" s="732">
        <f>0</f>
        <v>0</v>
      </c>
      <c r="D47" s="732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654">
        <f>0</f>
        <v>0</v>
      </c>
      <c r="N47" s="468">
        <f>SUM(B47:M47)</f>
        <v>0</v>
      </c>
      <c r="O47" s="397">
        <v>0</v>
      </c>
      <c r="P47" s="271">
        <v>0</v>
      </c>
      <c r="Q47" s="274">
        <f>N47-P47</f>
        <v>0</v>
      </c>
      <c r="R47" s="397">
        <v>0</v>
      </c>
      <c r="S47" s="398">
        <f t="shared" si="0"/>
        <v>0</v>
      </c>
      <c r="T47" s="500"/>
    </row>
    <row r="48" spans="1:23" s="452" customFormat="1" ht="14" thickTop="1">
      <c r="A48" s="445" t="s">
        <v>45</v>
      </c>
      <c r="B48" s="720">
        <f t="shared" ref="B48:M48" si="10">(((((B11)+(B17))+(B23))+(B44))+(B46))+(B47)</f>
        <v>61718.619999999995</v>
      </c>
      <c r="C48" s="720">
        <f t="shared" si="10"/>
        <v>19846.72</v>
      </c>
      <c r="D48" s="720">
        <f t="shared" si="10"/>
        <v>23897.46</v>
      </c>
      <c r="E48" s="446" t="e">
        <f t="shared" si="10"/>
        <v>#REF!</v>
      </c>
      <c r="F48" s="446" t="e">
        <f t="shared" si="10"/>
        <v>#REF!</v>
      </c>
      <c r="G48" s="446" t="e">
        <f t="shared" si="10"/>
        <v>#REF!</v>
      </c>
      <c r="H48" s="446" t="e">
        <f t="shared" si="10"/>
        <v>#REF!</v>
      </c>
      <c r="I48" s="446" t="e">
        <f t="shared" si="10"/>
        <v>#REF!</v>
      </c>
      <c r="J48" s="446" t="e">
        <f t="shared" si="10"/>
        <v>#REF!</v>
      </c>
      <c r="K48" s="446" t="e">
        <f t="shared" si="10"/>
        <v>#REF!</v>
      </c>
      <c r="L48" s="446" t="e">
        <f t="shared" si="10"/>
        <v>#REF!</v>
      </c>
      <c r="M48" s="659" t="e">
        <f t="shared" si="10"/>
        <v>#REF!</v>
      </c>
      <c r="N48" s="643" t="e">
        <f>SUM(B48:M48)</f>
        <v>#REF!</v>
      </c>
      <c r="O48" s="449">
        <f>SUM(O11,O17,O23,O44,O46,O47)</f>
        <v>635600</v>
      </c>
      <c r="P48" s="446">
        <v>1179776.3799999999</v>
      </c>
      <c r="Q48" s="450" t="e">
        <f>N48-P48</f>
        <v>#REF!</v>
      </c>
      <c r="R48" s="449">
        <f>SUM(R11,R17,R23,R44,R46,R47)</f>
        <v>2472100</v>
      </c>
      <c r="S48" s="398">
        <f t="shared" si="0"/>
        <v>-1836500</v>
      </c>
      <c r="T48" s="505"/>
    </row>
    <row r="49" spans="1:20" s="267" customFormat="1" ht="13" customHeight="1">
      <c r="A49" s="442"/>
      <c r="B49" s="715"/>
      <c r="C49" s="715"/>
      <c r="D49" s="715"/>
      <c r="E49" s="272"/>
      <c r="F49" s="272"/>
      <c r="G49" s="272"/>
      <c r="H49" s="272"/>
      <c r="I49" s="272"/>
      <c r="J49" s="272"/>
      <c r="K49" s="272"/>
      <c r="L49" s="272"/>
      <c r="M49" s="656"/>
      <c r="N49" s="443"/>
      <c r="O49" s="444"/>
      <c r="P49" s="370"/>
      <c r="Q49" s="370"/>
      <c r="R49" s="370"/>
      <c r="S49" s="398">
        <f t="shared" si="0"/>
        <v>0</v>
      </c>
      <c r="T49" s="500"/>
    </row>
    <row r="50" spans="1:20" s="267" customFormat="1" ht="13">
      <c r="A50" s="419" t="s">
        <v>46</v>
      </c>
      <c r="B50" s="712"/>
      <c r="C50" s="731"/>
      <c r="D50" s="731"/>
      <c r="E50" s="270"/>
      <c r="F50" s="270"/>
      <c r="G50" s="270"/>
      <c r="H50" s="270"/>
      <c r="I50" s="270"/>
      <c r="J50" s="270"/>
      <c r="K50" s="270"/>
      <c r="L50" s="270"/>
      <c r="M50" s="653"/>
      <c r="N50" s="468"/>
      <c r="O50" s="397"/>
      <c r="P50" s="133"/>
      <c r="Q50" s="133"/>
      <c r="R50" s="133"/>
      <c r="S50" s="398">
        <f t="shared" si="0"/>
        <v>0</v>
      </c>
      <c r="T50" s="500"/>
    </row>
    <row r="51" spans="1:20" s="267" customFormat="1" ht="13">
      <c r="A51" s="419" t="s">
        <v>144</v>
      </c>
      <c r="B51" s="713"/>
      <c r="C51" s="732"/>
      <c r="D51" s="732"/>
      <c r="E51" s="271"/>
      <c r="F51" s="271"/>
      <c r="G51" s="271"/>
      <c r="H51" s="271"/>
      <c r="I51" s="271"/>
      <c r="J51" s="271"/>
      <c r="K51" s="271"/>
      <c r="L51" s="271"/>
      <c r="M51" s="654"/>
      <c r="N51" s="468"/>
      <c r="O51" s="397"/>
      <c r="P51" s="133"/>
      <c r="Q51" s="133"/>
      <c r="R51" s="133"/>
      <c r="S51" s="398">
        <f t="shared" si="0"/>
        <v>0</v>
      </c>
      <c r="T51" s="500"/>
    </row>
    <row r="52" spans="1:20" s="267" customFormat="1" ht="13">
      <c r="A52" s="420" t="s">
        <v>48</v>
      </c>
      <c r="B52" s="713">
        <v>252.97</v>
      </c>
      <c r="C52" s="713">
        <v>257.17</v>
      </c>
      <c r="D52" s="713">
        <v>297.57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654">
        <v>400</v>
      </c>
      <c r="N52" s="468">
        <f t="shared" ref="N52:N60" si="11">SUM(B52:M52)</f>
        <v>4407.71</v>
      </c>
      <c r="O52" s="397">
        <v>4800</v>
      </c>
      <c r="P52" s="271">
        <v>3875.12</v>
      </c>
      <c r="Q52" s="274">
        <f>N52-P52</f>
        <v>532.59000000000015</v>
      </c>
      <c r="R52" s="397">
        <v>4800</v>
      </c>
      <c r="S52" s="398">
        <f t="shared" si="0"/>
        <v>0</v>
      </c>
      <c r="T52" s="500"/>
    </row>
    <row r="53" spans="1:20" s="527" customFormat="1" ht="26">
      <c r="A53" s="519" t="s">
        <v>145</v>
      </c>
      <c r="B53" s="717">
        <v>7843.25</v>
      </c>
      <c r="C53" s="717">
        <v>1295.56</v>
      </c>
      <c r="D53" s="717">
        <v>1023.75</v>
      </c>
      <c r="E53" s="520">
        <v>1000</v>
      </c>
      <c r="F53" s="520">
        <v>1000</v>
      </c>
      <c r="G53" s="520">
        <v>1000</v>
      </c>
      <c r="H53" s="520">
        <v>1000</v>
      </c>
      <c r="I53" s="520">
        <v>1000</v>
      </c>
      <c r="J53" s="520">
        <v>1000</v>
      </c>
      <c r="K53" s="520">
        <v>1000</v>
      </c>
      <c r="L53" s="520">
        <v>1000</v>
      </c>
      <c r="M53" s="658">
        <v>1000</v>
      </c>
      <c r="N53" s="642">
        <f t="shared" si="11"/>
        <v>19162.559999999998</v>
      </c>
      <c r="O53" s="523">
        <v>19000</v>
      </c>
      <c r="P53" s="521">
        <v>20722.400000000001</v>
      </c>
      <c r="Q53" s="524">
        <f t="shared" ref="Q53:Q60" si="12">N53-P53</f>
        <v>-1559.8400000000038</v>
      </c>
      <c r="R53" s="523">
        <v>38000</v>
      </c>
      <c r="S53" s="525">
        <f t="shared" si="0"/>
        <v>-19000</v>
      </c>
      <c r="T53" s="526" t="s">
        <v>245</v>
      </c>
    </row>
    <row r="54" spans="1:20" s="527" customFormat="1" ht="26">
      <c r="A54" s="519" t="s">
        <v>146</v>
      </c>
      <c r="B54" s="717">
        <v>1650.25</v>
      </c>
      <c r="C54" s="717">
        <v>1466.25</v>
      </c>
      <c r="D54" s="717">
        <v>1353.75</v>
      </c>
      <c r="E54" s="520">
        <v>2000</v>
      </c>
      <c r="F54" s="520">
        <v>2000</v>
      </c>
      <c r="G54" s="520">
        <v>2000</v>
      </c>
      <c r="H54" s="520">
        <v>2000</v>
      </c>
      <c r="I54" s="520">
        <v>2000</v>
      </c>
      <c r="J54" s="520">
        <v>2000</v>
      </c>
      <c r="K54" s="520">
        <v>2000</v>
      </c>
      <c r="L54" s="520">
        <v>2000</v>
      </c>
      <c r="M54" s="658">
        <v>2000</v>
      </c>
      <c r="N54" s="642">
        <f t="shared" si="11"/>
        <v>22470.25</v>
      </c>
      <c r="O54" s="523">
        <v>24000</v>
      </c>
      <c r="P54" s="521">
        <v>24074</v>
      </c>
      <c r="Q54" s="524">
        <f t="shared" si="12"/>
        <v>-1603.75</v>
      </c>
      <c r="R54" s="523">
        <v>60000</v>
      </c>
      <c r="S54" s="525">
        <f t="shared" si="0"/>
        <v>-36000</v>
      </c>
      <c r="T54" s="526" t="s">
        <v>246</v>
      </c>
    </row>
    <row r="55" spans="1:20" s="267" customFormat="1" ht="13">
      <c r="A55" s="420" t="s">
        <v>147</v>
      </c>
      <c r="B55" s="713">
        <v>60.33</v>
      </c>
      <c r="C55" s="713">
        <v>60.33</v>
      </c>
      <c r="D55" s="713">
        <v>60.33</v>
      </c>
      <c r="E55" s="278">
        <v>160</v>
      </c>
      <c r="F55" s="278">
        <v>160</v>
      </c>
      <c r="G55" s="278">
        <v>160</v>
      </c>
      <c r="H55" s="278">
        <v>160</v>
      </c>
      <c r="I55" s="278">
        <v>160</v>
      </c>
      <c r="J55" s="278">
        <v>160</v>
      </c>
      <c r="K55" s="278">
        <v>160</v>
      </c>
      <c r="L55" s="278">
        <v>160</v>
      </c>
      <c r="M55" s="654">
        <v>160</v>
      </c>
      <c r="N55" s="468">
        <f t="shared" si="11"/>
        <v>1620.99</v>
      </c>
      <c r="O55" s="397">
        <v>3600</v>
      </c>
      <c r="P55" s="271">
        <v>4249.01</v>
      </c>
      <c r="Q55" s="274">
        <f t="shared" si="12"/>
        <v>-2628.0200000000004</v>
      </c>
      <c r="R55" s="397">
        <v>3600</v>
      </c>
      <c r="S55" s="398">
        <f t="shared" si="0"/>
        <v>0</v>
      </c>
      <c r="T55" s="500"/>
    </row>
    <row r="56" spans="1:20" s="267" customFormat="1" ht="13">
      <c r="A56" s="420" t="s">
        <v>148</v>
      </c>
      <c r="B56" s="713">
        <v>0</v>
      </c>
      <c r="C56" s="732">
        <v>0</v>
      </c>
      <c r="D56" s="732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654">
        <v>0</v>
      </c>
      <c r="N56" s="468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397">
        <v>3000</v>
      </c>
      <c r="S56" s="398">
        <f t="shared" si="0"/>
        <v>0</v>
      </c>
      <c r="T56" s="500"/>
    </row>
    <row r="57" spans="1:20" s="267" customFormat="1" ht="13">
      <c r="A57" s="420" t="s">
        <v>149</v>
      </c>
      <c r="B57" s="713">
        <v>0</v>
      </c>
      <c r="C57" s="713">
        <v>0</v>
      </c>
      <c r="D57" s="713">
        <v>0</v>
      </c>
      <c r="E57" s="278">
        <v>0</v>
      </c>
      <c r="F57" s="278">
        <v>0</v>
      </c>
      <c r="G57" s="278">
        <v>500</v>
      </c>
      <c r="H57" s="278">
        <v>0</v>
      </c>
      <c r="I57" s="278">
        <v>0</v>
      </c>
      <c r="J57" s="278">
        <v>500</v>
      </c>
      <c r="K57" s="278">
        <v>0</v>
      </c>
      <c r="L57" s="278">
        <v>0</v>
      </c>
      <c r="M57" s="654">
        <v>500</v>
      </c>
      <c r="N57" s="468">
        <f>SUM(B57:M57)</f>
        <v>1500</v>
      </c>
      <c r="O57" s="397">
        <v>2000</v>
      </c>
      <c r="P57" s="271"/>
      <c r="Q57" s="274">
        <f t="shared" si="12"/>
        <v>1500</v>
      </c>
      <c r="R57" s="397">
        <v>6000</v>
      </c>
      <c r="S57" s="398">
        <f t="shared" si="0"/>
        <v>-4000</v>
      </c>
      <c r="T57" s="500"/>
    </row>
    <row r="58" spans="1:20" s="267" customFormat="1" ht="13">
      <c r="A58" s="420" t="s">
        <v>150</v>
      </c>
      <c r="B58" s="713">
        <v>1693.76</v>
      </c>
      <c r="C58" s="713">
        <v>3527.75</v>
      </c>
      <c r="D58" s="732">
        <v>1284.06</v>
      </c>
      <c r="E58" s="679">
        <v>0</v>
      </c>
      <c r="F58" s="271">
        <v>0</v>
      </c>
      <c r="G58" s="748">
        <v>11000</v>
      </c>
      <c r="H58" s="748">
        <v>11500</v>
      </c>
      <c r="I58" s="748">
        <v>11500</v>
      </c>
      <c r="J58" s="748">
        <v>18000</v>
      </c>
      <c r="K58" s="748">
        <v>28000</v>
      </c>
      <c r="L58" s="271">
        <v>1000</v>
      </c>
      <c r="M58" s="654">
        <v>2000</v>
      </c>
      <c r="N58" s="468">
        <f t="shared" si="11"/>
        <v>89505.57</v>
      </c>
      <c r="O58" s="397">
        <v>100000</v>
      </c>
      <c r="P58" s="271">
        <v>35418.75</v>
      </c>
      <c r="Q58" s="274">
        <f t="shared" si="12"/>
        <v>54086.820000000007</v>
      </c>
      <c r="R58" s="397">
        <v>123000</v>
      </c>
      <c r="S58" s="398">
        <f t="shared" si="0"/>
        <v>-23000</v>
      </c>
      <c r="T58" s="500"/>
    </row>
    <row r="59" spans="1:20" s="267" customFormat="1" ht="13">
      <c r="A59" s="420" t="s">
        <v>151</v>
      </c>
      <c r="B59" s="713">
        <v>0</v>
      </c>
      <c r="C59" s="732">
        <v>398.92</v>
      </c>
      <c r="D59" s="732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654">
        <v>0</v>
      </c>
      <c r="N59" s="468">
        <f t="shared" si="11"/>
        <v>3398.92</v>
      </c>
      <c r="O59" s="397">
        <v>3000</v>
      </c>
      <c r="P59" s="271">
        <v>2665.37</v>
      </c>
      <c r="Q59" s="274">
        <f t="shared" si="12"/>
        <v>733.55000000000018</v>
      </c>
      <c r="R59" s="397">
        <v>3000</v>
      </c>
      <c r="S59" s="398">
        <f t="shared" si="0"/>
        <v>0</v>
      </c>
      <c r="T59" s="500"/>
    </row>
    <row r="60" spans="1:20" s="267" customFormat="1" ht="13">
      <c r="A60" s="423" t="s">
        <v>152</v>
      </c>
      <c r="B60" s="721">
        <f t="shared" ref="B60:M60" si="13">SUM(B52:B59)</f>
        <v>11500.560000000001</v>
      </c>
      <c r="C60" s="724">
        <f t="shared" si="13"/>
        <v>7005.98</v>
      </c>
      <c r="D60" s="724">
        <f t="shared" si="13"/>
        <v>4019.4599999999996</v>
      </c>
      <c r="E60" s="469">
        <f t="shared" si="13"/>
        <v>3560</v>
      </c>
      <c r="F60" s="469">
        <f t="shared" si="13"/>
        <v>3560</v>
      </c>
      <c r="G60" s="469">
        <f t="shared" si="13"/>
        <v>15060</v>
      </c>
      <c r="H60" s="469">
        <f t="shared" si="13"/>
        <v>15060</v>
      </c>
      <c r="I60" s="469">
        <f t="shared" si="13"/>
        <v>18060</v>
      </c>
      <c r="J60" s="469">
        <f t="shared" si="13"/>
        <v>22060</v>
      </c>
      <c r="K60" s="469">
        <f t="shared" si="13"/>
        <v>34560</v>
      </c>
      <c r="L60" s="469">
        <f t="shared" si="13"/>
        <v>4560</v>
      </c>
      <c r="M60" s="660">
        <f t="shared" si="13"/>
        <v>6060</v>
      </c>
      <c r="N60" s="467">
        <f t="shared" si="11"/>
        <v>145066</v>
      </c>
      <c r="O60" s="406">
        <f>SUM(O52:O59)</f>
        <v>159400</v>
      </c>
      <c r="P60" s="469">
        <v>91929.239999999991</v>
      </c>
      <c r="Q60" s="469">
        <f t="shared" si="12"/>
        <v>53136.760000000009</v>
      </c>
      <c r="R60" s="401">
        <f>SUM(R52:R59)</f>
        <v>241400</v>
      </c>
      <c r="S60" s="398">
        <f t="shared" si="0"/>
        <v>-82000</v>
      </c>
      <c r="T60" s="500"/>
    </row>
    <row r="61" spans="1:20" s="267" customFormat="1" ht="6" customHeight="1">
      <c r="A61" s="419"/>
      <c r="B61" s="715"/>
      <c r="C61" s="715"/>
      <c r="D61" s="715"/>
      <c r="E61" s="272"/>
      <c r="F61" s="272"/>
      <c r="G61" s="272"/>
      <c r="H61" s="272"/>
      <c r="I61" s="272"/>
      <c r="J61" s="272"/>
      <c r="K61" s="272"/>
      <c r="L61" s="272"/>
      <c r="M61" s="656"/>
      <c r="N61" s="468"/>
      <c r="O61" s="397"/>
      <c r="P61" s="133"/>
      <c r="Q61" s="133"/>
      <c r="R61" s="133"/>
      <c r="S61" s="398">
        <f t="shared" si="0"/>
        <v>0</v>
      </c>
      <c r="T61" s="500"/>
    </row>
    <row r="62" spans="1:20" s="267" customFormat="1" ht="13">
      <c r="A62" s="419" t="s">
        <v>153</v>
      </c>
      <c r="B62" s="722"/>
      <c r="C62" s="733"/>
      <c r="D62" s="733"/>
      <c r="E62" s="273"/>
      <c r="F62" s="273"/>
      <c r="G62" s="273"/>
      <c r="H62" s="273"/>
      <c r="I62" s="273"/>
      <c r="J62" s="273"/>
      <c r="K62" s="273"/>
      <c r="L62" s="273"/>
      <c r="M62" s="657"/>
      <c r="N62" s="468"/>
      <c r="O62" s="397"/>
      <c r="P62" s="133"/>
      <c r="Q62" s="133"/>
      <c r="R62" s="133"/>
      <c r="S62" s="398">
        <f t="shared" si="0"/>
        <v>0</v>
      </c>
      <c r="T62" s="500"/>
    </row>
    <row r="63" spans="1:20" s="267" customFormat="1" ht="13">
      <c r="A63" s="420" t="s">
        <v>154</v>
      </c>
      <c r="B63" s="713">
        <v>4710.08</v>
      </c>
      <c r="C63" s="713">
        <f>15982.07+5250</f>
        <v>21232.07</v>
      </c>
      <c r="D63" s="713">
        <v>11614.31</v>
      </c>
      <c r="E63" s="278"/>
      <c r="F63" s="278"/>
      <c r="G63" s="278"/>
      <c r="H63" s="278"/>
      <c r="I63" s="278"/>
      <c r="J63" s="278"/>
      <c r="K63" s="278"/>
      <c r="L63" s="278"/>
      <c r="M63" s="654"/>
      <c r="N63" s="467"/>
      <c r="O63" s="406">
        <v>85000</v>
      </c>
      <c r="P63" s="271">
        <v>49969.65</v>
      </c>
      <c r="Q63" s="274">
        <f>N63-P63</f>
        <v>-49969.65</v>
      </c>
      <c r="R63" s="274"/>
      <c r="S63" s="398">
        <f t="shared" si="0"/>
        <v>85000</v>
      </c>
      <c r="T63" s="500"/>
    </row>
    <row r="64" spans="1:20" s="267" customFormat="1" ht="13">
      <c r="A64" s="571" t="s">
        <v>155</v>
      </c>
      <c r="B64" s="713">
        <v>0</v>
      </c>
      <c r="C64" s="713">
        <v>0</v>
      </c>
      <c r="D64" s="713">
        <v>0</v>
      </c>
      <c r="E64" s="278">
        <v>0</v>
      </c>
      <c r="F64" s="278">
        <v>0</v>
      </c>
      <c r="G64" s="278">
        <v>0</v>
      </c>
      <c r="H64" s="278">
        <v>0</v>
      </c>
      <c r="I64" s="278">
        <v>0</v>
      </c>
      <c r="J64" s="278">
        <v>0</v>
      </c>
      <c r="K64" s="278">
        <v>0</v>
      </c>
      <c r="L64" s="278">
        <v>0</v>
      </c>
      <c r="M64" s="654">
        <v>0</v>
      </c>
      <c r="N64" s="467">
        <f>SUM(B64:M64)</f>
        <v>0</v>
      </c>
      <c r="O64" s="397">
        <v>0</v>
      </c>
      <c r="P64" s="271"/>
      <c r="Q64" s="274"/>
      <c r="R64" s="669">
        <v>24000</v>
      </c>
      <c r="S64" s="398">
        <f t="shared" si="0"/>
        <v>-24000</v>
      </c>
      <c r="T64" s="500"/>
    </row>
    <row r="65" spans="1:23" s="267" customFormat="1" ht="13">
      <c r="A65" s="571" t="s">
        <v>156</v>
      </c>
      <c r="B65" s="713"/>
      <c r="C65" s="713"/>
      <c r="D65" s="713"/>
      <c r="E65" s="278"/>
      <c r="F65" s="278"/>
      <c r="G65" s="278"/>
      <c r="H65" s="278"/>
      <c r="I65" s="278"/>
      <c r="J65" s="278"/>
      <c r="K65" s="278"/>
      <c r="L65" s="278"/>
      <c r="M65" s="654">
        <v>0</v>
      </c>
      <c r="N65" s="468">
        <f t="shared" ref="N65:N75" si="14">SUM(B65:M65)</f>
        <v>0</v>
      </c>
      <c r="O65" s="397">
        <v>0</v>
      </c>
      <c r="P65" s="271"/>
      <c r="Q65" s="133"/>
      <c r="R65" s="669">
        <v>13200</v>
      </c>
      <c r="S65" s="398">
        <f t="shared" si="0"/>
        <v>-13200</v>
      </c>
      <c r="T65" s="500"/>
    </row>
    <row r="66" spans="1:23" s="527" customFormat="1" ht="26">
      <c r="A66" s="491" t="s">
        <v>247</v>
      </c>
      <c r="B66" s="717"/>
      <c r="C66" s="717">
        <v>0</v>
      </c>
      <c r="D66" s="717">
        <v>0</v>
      </c>
      <c r="E66" s="520">
        <v>0</v>
      </c>
      <c r="F66" s="520">
        <v>1500</v>
      </c>
      <c r="G66" s="520">
        <v>0</v>
      </c>
      <c r="H66" s="520">
        <v>1500</v>
      </c>
      <c r="I66" s="520">
        <v>0</v>
      </c>
      <c r="J66" s="520">
        <v>1500</v>
      </c>
      <c r="K66" s="520">
        <v>0</v>
      </c>
      <c r="L66" s="520">
        <v>1500</v>
      </c>
      <c r="M66" s="658">
        <v>0</v>
      </c>
      <c r="N66" s="642">
        <f t="shared" si="14"/>
        <v>6000</v>
      </c>
      <c r="O66" s="523">
        <v>0</v>
      </c>
      <c r="P66" s="521"/>
      <c r="Q66" s="530"/>
      <c r="R66" s="671">
        <v>36000</v>
      </c>
      <c r="S66" s="525">
        <f t="shared" si="0"/>
        <v>-36000</v>
      </c>
      <c r="T66" s="526" t="s">
        <v>248</v>
      </c>
    </row>
    <row r="67" spans="1:23" s="527" customFormat="1" ht="13">
      <c r="A67" s="491" t="s">
        <v>249</v>
      </c>
      <c r="B67" s="717"/>
      <c r="C67" s="717">
        <v>0</v>
      </c>
      <c r="D67" s="717">
        <v>0</v>
      </c>
      <c r="E67" s="520">
        <v>500</v>
      </c>
      <c r="F67" s="520">
        <v>500</v>
      </c>
      <c r="G67" s="520">
        <v>500</v>
      </c>
      <c r="H67" s="520">
        <v>500</v>
      </c>
      <c r="I67" s="520">
        <v>500</v>
      </c>
      <c r="J67" s="520">
        <v>500</v>
      </c>
      <c r="K67" s="520">
        <v>500</v>
      </c>
      <c r="L67" s="520">
        <v>500</v>
      </c>
      <c r="M67" s="658">
        <v>500</v>
      </c>
      <c r="N67" s="642">
        <f t="shared" si="14"/>
        <v>4500</v>
      </c>
      <c r="O67" s="523">
        <v>0</v>
      </c>
      <c r="P67" s="521"/>
      <c r="Q67" s="530"/>
      <c r="R67" s="671"/>
      <c r="S67" s="525"/>
      <c r="T67" s="526"/>
    </row>
    <row r="68" spans="1:23" s="527" customFormat="1" ht="26">
      <c r="A68" s="519" t="s">
        <v>250</v>
      </c>
      <c r="B68" s="717"/>
      <c r="C68" s="717">
        <v>0</v>
      </c>
      <c r="D68" s="717">
        <v>0</v>
      </c>
      <c r="E68" s="520">
        <v>500</v>
      </c>
      <c r="F68" s="520">
        <v>500</v>
      </c>
      <c r="G68" s="520">
        <v>500</v>
      </c>
      <c r="H68" s="520">
        <v>500</v>
      </c>
      <c r="I68" s="520">
        <v>500</v>
      </c>
      <c r="J68" s="520">
        <v>500</v>
      </c>
      <c r="K68" s="520">
        <v>500</v>
      </c>
      <c r="L68" s="520">
        <v>500</v>
      </c>
      <c r="M68" s="658">
        <v>500</v>
      </c>
      <c r="N68" s="642">
        <f t="shared" si="14"/>
        <v>4500</v>
      </c>
      <c r="O68" s="523">
        <v>0</v>
      </c>
      <c r="P68" s="521"/>
      <c r="Q68" s="530"/>
      <c r="R68" s="671">
        <v>12000</v>
      </c>
      <c r="S68" s="525">
        <f t="shared" si="0"/>
        <v>-12000</v>
      </c>
      <c r="T68" s="526" t="s">
        <v>251</v>
      </c>
    </row>
    <row r="69" spans="1:23" s="527" customFormat="1" ht="22.5" customHeight="1">
      <c r="A69" s="519" t="s">
        <v>252</v>
      </c>
      <c r="B69" s="717">
        <v>0</v>
      </c>
      <c r="C69" s="734">
        <v>0</v>
      </c>
      <c r="D69" s="734">
        <v>0</v>
      </c>
      <c r="E69" s="672">
        <v>0</v>
      </c>
      <c r="F69" s="672">
        <v>0</v>
      </c>
      <c r="G69" s="672">
        <v>0</v>
      </c>
      <c r="H69" s="672">
        <v>0</v>
      </c>
      <c r="I69" s="672">
        <v>0</v>
      </c>
      <c r="J69" s="672">
        <v>0</v>
      </c>
      <c r="K69" s="520">
        <v>0</v>
      </c>
      <c r="L69" s="520">
        <v>0</v>
      </c>
      <c r="M69" s="658">
        <v>0</v>
      </c>
      <c r="N69" s="642">
        <f>SUM(B69:M69)</f>
        <v>0</v>
      </c>
      <c r="O69" s="523">
        <v>0</v>
      </c>
      <c r="P69" s="521"/>
      <c r="Q69" s="530"/>
      <c r="R69" s="671">
        <v>16300</v>
      </c>
      <c r="S69" s="525">
        <f t="shared" si="0"/>
        <v>-16300</v>
      </c>
      <c r="T69" s="526"/>
    </row>
    <row r="70" spans="1:23" s="527" customFormat="1" ht="26">
      <c r="A70" s="519" t="s">
        <v>253</v>
      </c>
      <c r="B70" s="717">
        <v>0</v>
      </c>
      <c r="C70" s="717">
        <v>0</v>
      </c>
      <c r="D70" s="717"/>
      <c r="E70" s="520">
        <v>15000</v>
      </c>
      <c r="F70" s="520">
        <v>9250</v>
      </c>
      <c r="G70" s="520">
        <v>0</v>
      </c>
      <c r="H70" s="520">
        <v>1000</v>
      </c>
      <c r="I70" s="520">
        <v>1000</v>
      </c>
      <c r="J70" s="520">
        <v>1000</v>
      </c>
      <c r="K70" s="520">
        <v>1000</v>
      </c>
      <c r="L70" s="520">
        <v>1000</v>
      </c>
      <c r="M70" s="658">
        <v>1000</v>
      </c>
      <c r="N70" s="642">
        <f t="shared" si="14"/>
        <v>30250</v>
      </c>
      <c r="O70" s="523">
        <v>0</v>
      </c>
      <c r="P70" s="521"/>
      <c r="Q70" s="543"/>
      <c r="R70" s="671">
        <v>12000</v>
      </c>
      <c r="S70" s="525">
        <f t="shared" ref="S70:S133" si="15">O70-R70</f>
        <v>-12000</v>
      </c>
      <c r="T70" s="526" t="s">
        <v>251</v>
      </c>
    </row>
    <row r="71" spans="1:23" s="527" customFormat="1" ht="65">
      <c r="A71" s="519" t="s">
        <v>165</v>
      </c>
      <c r="B71" s="717"/>
      <c r="C71" s="717">
        <v>1286.25</v>
      </c>
      <c r="D71" s="717">
        <v>797.5</v>
      </c>
      <c r="E71" s="520">
        <v>500</v>
      </c>
      <c r="F71" s="520">
        <v>500</v>
      </c>
      <c r="G71" s="520">
        <v>500</v>
      </c>
      <c r="H71" s="520">
        <v>500</v>
      </c>
      <c r="I71" s="520">
        <v>500</v>
      </c>
      <c r="J71" s="520">
        <v>500</v>
      </c>
      <c r="K71" s="520">
        <v>500</v>
      </c>
      <c r="L71" s="520">
        <v>500</v>
      </c>
      <c r="M71" s="658">
        <v>500</v>
      </c>
      <c r="N71" s="642">
        <f t="shared" si="14"/>
        <v>6583.75</v>
      </c>
      <c r="O71" s="523">
        <v>7000</v>
      </c>
      <c r="P71" s="521">
        <v>40075.839999999997</v>
      </c>
      <c r="Q71" s="524">
        <f>N71-P71</f>
        <v>-33492.089999999997</v>
      </c>
      <c r="R71" s="671">
        <v>21000</v>
      </c>
      <c r="S71" s="525">
        <f t="shared" si="15"/>
        <v>-14000</v>
      </c>
      <c r="T71" s="526" t="s">
        <v>254</v>
      </c>
    </row>
    <row r="72" spans="1:23" s="267" customFormat="1" ht="12" customHeight="1">
      <c r="A72" s="420" t="s">
        <v>297</v>
      </c>
      <c r="B72" s="713">
        <v>0</v>
      </c>
      <c r="C72" s="713">
        <v>0</v>
      </c>
      <c r="D72" s="713">
        <v>30.77</v>
      </c>
      <c r="E72" s="278">
        <v>0</v>
      </c>
      <c r="F72" s="278">
        <v>0</v>
      </c>
      <c r="G72" s="278">
        <v>250</v>
      </c>
      <c r="H72" s="278">
        <v>0</v>
      </c>
      <c r="I72" s="278">
        <v>0</v>
      </c>
      <c r="J72" s="278">
        <v>250</v>
      </c>
      <c r="K72" s="278">
        <v>0</v>
      </c>
      <c r="L72" s="278">
        <v>0</v>
      </c>
      <c r="M72" s="654">
        <v>250</v>
      </c>
      <c r="N72" s="468">
        <f t="shared" si="14"/>
        <v>780.77</v>
      </c>
      <c r="O72" s="397">
        <v>1000</v>
      </c>
      <c r="P72" s="271">
        <v>6621.17</v>
      </c>
      <c r="Q72" s="274">
        <f t="shared" ref="Q72:Q76" si="16">N72-P72</f>
        <v>-5840.4</v>
      </c>
      <c r="R72" s="669">
        <v>3000</v>
      </c>
      <c r="S72" s="398">
        <f t="shared" si="15"/>
        <v>-2000</v>
      </c>
      <c r="T72" s="500"/>
    </row>
    <row r="73" spans="1:23" s="267" customFormat="1" ht="13">
      <c r="A73" s="420" t="s">
        <v>168</v>
      </c>
      <c r="B73" s="713">
        <v>0</v>
      </c>
      <c r="C73" s="713">
        <v>61.64</v>
      </c>
      <c r="D73" s="713">
        <v>0</v>
      </c>
      <c r="E73" s="278">
        <v>0</v>
      </c>
      <c r="F73" s="278">
        <v>2000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2000</v>
      </c>
      <c r="M73" s="654">
        <v>0</v>
      </c>
      <c r="N73" s="468">
        <f t="shared" si="14"/>
        <v>4061.64</v>
      </c>
      <c r="O73" s="397">
        <v>4000</v>
      </c>
      <c r="P73" s="271">
        <v>2425.1099999999997</v>
      </c>
      <c r="Q73" s="274">
        <f t="shared" si="16"/>
        <v>1636.5300000000002</v>
      </c>
      <c r="R73" s="669">
        <v>10000</v>
      </c>
      <c r="S73" s="398">
        <f t="shared" si="15"/>
        <v>-6000</v>
      </c>
      <c r="T73" s="500"/>
    </row>
    <row r="74" spans="1:23" s="267" customFormat="1" ht="26">
      <c r="A74" s="420" t="s">
        <v>54</v>
      </c>
      <c r="B74" s="713">
        <v>8.4</v>
      </c>
      <c r="C74" s="713">
        <v>0</v>
      </c>
      <c r="D74" s="713">
        <v>45.6</v>
      </c>
      <c r="E74" s="278">
        <v>1000</v>
      </c>
      <c r="F74" s="278">
        <v>1000</v>
      </c>
      <c r="G74" s="278">
        <v>1000</v>
      </c>
      <c r="H74" s="278">
        <v>1000</v>
      </c>
      <c r="I74" s="278">
        <v>1000</v>
      </c>
      <c r="J74" s="278">
        <v>1000</v>
      </c>
      <c r="K74" s="278">
        <v>1000</v>
      </c>
      <c r="L74" s="278">
        <v>2000</v>
      </c>
      <c r="M74" s="654">
        <v>1000</v>
      </c>
      <c r="N74" s="468">
        <f t="shared" si="14"/>
        <v>10054</v>
      </c>
      <c r="O74" s="397">
        <v>18000</v>
      </c>
      <c r="P74" s="271">
        <v>23942.32</v>
      </c>
      <c r="Q74" s="274">
        <f t="shared" si="16"/>
        <v>-13888.32</v>
      </c>
      <c r="R74" s="669">
        <v>48000</v>
      </c>
      <c r="S74" s="398">
        <f t="shared" si="15"/>
        <v>-30000</v>
      </c>
      <c r="T74" s="500" t="s">
        <v>255</v>
      </c>
    </row>
    <row r="75" spans="1:23" s="267" customFormat="1" ht="13">
      <c r="A75" s="420" t="s">
        <v>56</v>
      </c>
      <c r="B75" s="713">
        <v>-2589.8000000000002</v>
      </c>
      <c r="C75" s="713">
        <f>63.92+357.77</f>
        <v>421.69</v>
      </c>
      <c r="D75" s="713">
        <v>57.79</v>
      </c>
      <c r="E75" s="278">
        <v>400</v>
      </c>
      <c r="F75" s="278">
        <v>400</v>
      </c>
      <c r="G75" s="278">
        <v>400</v>
      </c>
      <c r="H75" s="278">
        <v>400</v>
      </c>
      <c r="I75" s="278">
        <v>400</v>
      </c>
      <c r="J75" s="278">
        <v>3000</v>
      </c>
      <c r="K75" s="278">
        <v>400</v>
      </c>
      <c r="L75" s="278">
        <v>400</v>
      </c>
      <c r="M75" s="654">
        <v>400</v>
      </c>
      <c r="N75" s="468">
        <f t="shared" si="14"/>
        <v>4089.68</v>
      </c>
      <c r="O75" s="397">
        <v>5000</v>
      </c>
      <c r="P75" s="271">
        <v>13154.77</v>
      </c>
      <c r="Q75" s="274">
        <f t="shared" si="16"/>
        <v>-9065.09</v>
      </c>
      <c r="R75" s="669">
        <v>14200</v>
      </c>
      <c r="S75" s="398">
        <f t="shared" si="15"/>
        <v>-9200</v>
      </c>
      <c r="T75" s="500"/>
    </row>
    <row r="76" spans="1:23" s="267" customFormat="1" ht="13">
      <c r="A76" s="423" t="s">
        <v>169</v>
      </c>
      <c r="B76" s="721">
        <f t="shared" ref="B76:M76" si="17">SUM(B63:B75)</f>
        <v>2128.6799999999994</v>
      </c>
      <c r="C76" s="724">
        <f t="shared" si="17"/>
        <v>23001.649999999998</v>
      </c>
      <c r="D76" s="724">
        <f t="shared" si="17"/>
        <v>12545.970000000001</v>
      </c>
      <c r="E76" s="469">
        <f t="shared" si="17"/>
        <v>17900</v>
      </c>
      <c r="F76" s="469">
        <f t="shared" si="17"/>
        <v>15650</v>
      </c>
      <c r="G76" s="469">
        <f t="shared" si="17"/>
        <v>3150</v>
      </c>
      <c r="H76" s="469">
        <f t="shared" si="17"/>
        <v>5400</v>
      </c>
      <c r="I76" s="469">
        <f t="shared" si="17"/>
        <v>3900</v>
      </c>
      <c r="J76" s="469">
        <f t="shared" si="17"/>
        <v>8250</v>
      </c>
      <c r="K76" s="469">
        <f t="shared" si="17"/>
        <v>3900</v>
      </c>
      <c r="L76" s="469">
        <f t="shared" si="17"/>
        <v>8400</v>
      </c>
      <c r="M76" s="660">
        <f t="shared" si="17"/>
        <v>4150</v>
      </c>
      <c r="N76" s="644">
        <f>SUM(B76:M76)</f>
        <v>108376.3</v>
      </c>
      <c r="O76" s="406">
        <f>SUM(O63:O75)</f>
        <v>120000</v>
      </c>
      <c r="P76" s="469">
        <v>137632.61999999997</v>
      </c>
      <c r="Q76" s="469">
        <f t="shared" si="16"/>
        <v>-29256.319999999963</v>
      </c>
      <c r="R76" s="670">
        <v>209700</v>
      </c>
      <c r="S76" s="398">
        <f t="shared" si="15"/>
        <v>-89700</v>
      </c>
      <c r="T76" s="503"/>
      <c r="U76" s="369"/>
      <c r="V76" s="369"/>
      <c r="W76" s="369"/>
    </row>
    <row r="77" spans="1:23" s="267" customFormat="1" ht="10" customHeight="1">
      <c r="A77" s="419"/>
      <c r="B77" s="715"/>
      <c r="C77" s="715"/>
      <c r="D77" s="715"/>
      <c r="E77" s="272"/>
      <c r="F77" s="272"/>
      <c r="G77" s="272"/>
      <c r="H77" s="272"/>
      <c r="I77" s="272"/>
      <c r="J77" s="272"/>
      <c r="K77" s="272"/>
      <c r="L77" s="272"/>
      <c r="M77" s="656"/>
      <c r="N77" s="468"/>
      <c r="O77" s="397"/>
      <c r="P77" s="370"/>
      <c r="Q77" s="370"/>
      <c r="R77" s="370"/>
      <c r="S77" s="398">
        <f t="shared" si="15"/>
        <v>0</v>
      </c>
      <c r="T77" s="503"/>
      <c r="U77" s="369"/>
      <c r="V77" s="369"/>
      <c r="W77" s="369"/>
    </row>
    <row r="78" spans="1:23" s="267" customFormat="1" ht="13">
      <c r="A78" s="419" t="s">
        <v>170</v>
      </c>
      <c r="B78" s="713"/>
      <c r="C78" s="732"/>
      <c r="D78" s="732"/>
      <c r="E78" s="271"/>
      <c r="F78" s="271"/>
      <c r="G78" s="271"/>
      <c r="H78" s="271"/>
      <c r="I78" s="271"/>
      <c r="J78" s="271"/>
      <c r="K78" s="271"/>
      <c r="L78" s="271"/>
      <c r="M78" s="654"/>
      <c r="N78" s="468"/>
      <c r="O78" s="397"/>
      <c r="P78" s="370"/>
      <c r="Q78" s="370"/>
      <c r="R78" s="370"/>
      <c r="S78" s="398">
        <f t="shared" si="15"/>
        <v>0</v>
      </c>
      <c r="T78" s="506"/>
      <c r="U78" s="268"/>
      <c r="V78" s="268"/>
      <c r="W78" s="369"/>
    </row>
    <row r="79" spans="1:23" s="267" customFormat="1" ht="13">
      <c r="A79" s="420" t="s">
        <v>67</v>
      </c>
      <c r="B79" s="713">
        <v>0</v>
      </c>
      <c r="C79" s="713">
        <v>0</v>
      </c>
      <c r="D79" s="713">
        <v>0</v>
      </c>
      <c r="E79" s="278">
        <v>0</v>
      </c>
      <c r="F79" s="278">
        <v>0</v>
      </c>
      <c r="G79" s="278">
        <v>0</v>
      </c>
      <c r="H79" s="278">
        <v>7000</v>
      </c>
      <c r="I79" s="278">
        <v>0</v>
      </c>
      <c r="J79" s="278">
        <v>7000</v>
      </c>
      <c r="K79" s="278">
        <v>0</v>
      </c>
      <c r="L79" s="278">
        <v>0</v>
      </c>
      <c r="M79" s="654">
        <v>0</v>
      </c>
      <c r="N79" s="468">
        <f t="shared" ref="N79:N86" si="18">SUM(B79:M79)</f>
        <v>14000</v>
      </c>
      <c r="O79" s="397">
        <v>21500</v>
      </c>
      <c r="P79" s="271">
        <v>5000</v>
      </c>
      <c r="Q79" s="286">
        <f>N79-P79</f>
        <v>9000</v>
      </c>
      <c r="R79" s="397">
        <v>21500</v>
      </c>
      <c r="S79" s="398">
        <f t="shared" si="15"/>
        <v>0</v>
      </c>
      <c r="T79" s="506"/>
      <c r="U79" s="268"/>
      <c r="V79" s="268"/>
      <c r="W79" s="369"/>
    </row>
    <row r="80" spans="1:23" s="267" customFormat="1" ht="13">
      <c r="A80" s="420" t="s">
        <v>68</v>
      </c>
      <c r="B80" s="713">
        <v>0</v>
      </c>
      <c r="C80" s="713">
        <v>0</v>
      </c>
      <c r="D80" s="713">
        <v>0</v>
      </c>
      <c r="E80" s="278">
        <v>0</v>
      </c>
      <c r="F80" s="278">
        <v>0</v>
      </c>
      <c r="G80" s="278">
        <v>0</v>
      </c>
      <c r="H80" s="278">
        <v>1500</v>
      </c>
      <c r="I80" s="278">
        <v>0</v>
      </c>
      <c r="J80" s="278">
        <v>1500</v>
      </c>
      <c r="K80" s="278">
        <v>0</v>
      </c>
      <c r="L80" s="278">
        <v>0</v>
      </c>
      <c r="M80" s="654">
        <v>0</v>
      </c>
      <c r="N80" s="468">
        <f t="shared" si="18"/>
        <v>3000</v>
      </c>
      <c r="O80" s="397">
        <v>4500</v>
      </c>
      <c r="P80" s="271">
        <v>0</v>
      </c>
      <c r="Q80" s="286">
        <f t="shared" ref="Q80:Q85" si="19">N80-P80</f>
        <v>3000</v>
      </c>
      <c r="R80" s="397">
        <v>4500</v>
      </c>
      <c r="S80" s="398">
        <f t="shared" si="15"/>
        <v>0</v>
      </c>
      <c r="T80" s="506"/>
      <c r="U80" s="268"/>
      <c r="V80" s="268"/>
      <c r="W80" s="369"/>
    </row>
    <row r="81" spans="1:23" s="267" customFormat="1" ht="13">
      <c r="A81" s="420" t="s">
        <v>69</v>
      </c>
      <c r="B81" s="713">
        <v>0</v>
      </c>
      <c r="C81" s="713">
        <v>0</v>
      </c>
      <c r="D81" s="713">
        <v>0</v>
      </c>
      <c r="E81" s="278">
        <v>0</v>
      </c>
      <c r="F81" s="278">
        <v>0</v>
      </c>
      <c r="G81" s="278">
        <v>0</v>
      </c>
      <c r="H81" s="278">
        <v>6000</v>
      </c>
      <c r="I81" s="278">
        <v>0</v>
      </c>
      <c r="J81" s="278">
        <v>6000</v>
      </c>
      <c r="K81" s="278">
        <v>0</v>
      </c>
      <c r="L81" s="278">
        <v>0</v>
      </c>
      <c r="M81" s="654">
        <v>0</v>
      </c>
      <c r="N81" s="468">
        <f t="shared" si="18"/>
        <v>12000</v>
      </c>
      <c r="O81" s="397">
        <v>18000</v>
      </c>
      <c r="P81" s="271">
        <v>7500</v>
      </c>
      <c r="Q81" s="286">
        <f t="shared" si="19"/>
        <v>4500</v>
      </c>
      <c r="R81" s="397">
        <v>18000</v>
      </c>
      <c r="S81" s="398">
        <f t="shared" si="15"/>
        <v>0</v>
      </c>
      <c r="T81" s="506"/>
      <c r="U81" s="268"/>
      <c r="V81" s="268"/>
      <c r="W81" s="369"/>
    </row>
    <row r="82" spans="1:23" s="267" customFormat="1" ht="13">
      <c r="A82" s="420" t="s">
        <v>70</v>
      </c>
      <c r="B82" s="713">
        <v>0</v>
      </c>
      <c r="C82" s="713">
        <v>0</v>
      </c>
      <c r="D82" s="713">
        <v>0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654">
        <v>0</v>
      </c>
      <c r="N82" s="468">
        <f t="shared" si="18"/>
        <v>0</v>
      </c>
      <c r="O82" s="397">
        <v>0</v>
      </c>
      <c r="P82" s="271">
        <v>0</v>
      </c>
      <c r="Q82" s="286">
        <f t="shared" si="19"/>
        <v>0</v>
      </c>
      <c r="R82" s="397">
        <v>0</v>
      </c>
      <c r="S82" s="398">
        <f t="shared" si="15"/>
        <v>0</v>
      </c>
      <c r="T82" s="506"/>
      <c r="U82" s="268"/>
      <c r="V82" s="268"/>
      <c r="W82" s="369"/>
    </row>
    <row r="83" spans="1:23" s="267" customFormat="1" ht="13">
      <c r="A83" s="420" t="s">
        <v>71</v>
      </c>
      <c r="B83" s="713">
        <v>0</v>
      </c>
      <c r="C83" s="713">
        <v>0</v>
      </c>
      <c r="D83" s="713">
        <v>0</v>
      </c>
      <c r="E83" s="278">
        <v>0</v>
      </c>
      <c r="F83" s="278">
        <v>0</v>
      </c>
      <c r="G83" s="278">
        <v>0</v>
      </c>
      <c r="H83" s="278">
        <v>0</v>
      </c>
      <c r="I83" s="278">
        <v>4300</v>
      </c>
      <c r="J83" s="278">
        <v>0</v>
      </c>
      <c r="K83" s="278">
        <v>4300</v>
      </c>
      <c r="L83" s="278">
        <v>0</v>
      </c>
      <c r="M83" s="654">
        <v>0</v>
      </c>
      <c r="N83" s="468">
        <f t="shared" si="18"/>
        <v>8600</v>
      </c>
      <c r="O83" s="397">
        <v>12900</v>
      </c>
      <c r="P83" s="271">
        <v>0</v>
      </c>
      <c r="Q83" s="286">
        <f t="shared" si="19"/>
        <v>8600</v>
      </c>
      <c r="R83" s="397">
        <v>12900</v>
      </c>
      <c r="S83" s="398">
        <f t="shared" si="15"/>
        <v>0</v>
      </c>
      <c r="T83" s="506"/>
      <c r="U83" s="268"/>
      <c r="V83" s="268"/>
      <c r="W83" s="369"/>
    </row>
    <row r="84" spans="1:23" s="267" customFormat="1" ht="13">
      <c r="A84" s="420" t="s">
        <v>72</v>
      </c>
      <c r="B84" s="713">
        <v>0</v>
      </c>
      <c r="C84" s="713">
        <v>0</v>
      </c>
      <c r="D84" s="713">
        <v>0</v>
      </c>
      <c r="E84" s="278">
        <v>0</v>
      </c>
      <c r="F84" s="278">
        <v>0</v>
      </c>
      <c r="G84" s="278">
        <v>0</v>
      </c>
      <c r="H84" s="278">
        <v>8400</v>
      </c>
      <c r="I84" s="278">
        <v>0</v>
      </c>
      <c r="J84" s="278">
        <v>8400</v>
      </c>
      <c r="K84" s="278">
        <v>0</v>
      </c>
      <c r="L84" s="278">
        <v>0</v>
      </c>
      <c r="M84" s="654">
        <v>0</v>
      </c>
      <c r="N84" s="468">
        <f t="shared" si="18"/>
        <v>16800</v>
      </c>
      <c r="O84" s="397">
        <v>25200</v>
      </c>
      <c r="P84" s="271">
        <v>0</v>
      </c>
      <c r="Q84" s="286">
        <f t="shared" si="19"/>
        <v>16800</v>
      </c>
      <c r="R84" s="397">
        <v>25200</v>
      </c>
      <c r="S84" s="398">
        <f t="shared" si="15"/>
        <v>0</v>
      </c>
      <c r="T84" s="506"/>
      <c r="U84" s="268"/>
      <c r="V84" s="268"/>
      <c r="W84" s="369"/>
    </row>
    <row r="85" spans="1:23" s="267" customFormat="1" ht="13">
      <c r="A85" s="420" t="s">
        <v>73</v>
      </c>
      <c r="B85" s="713">
        <v>0</v>
      </c>
      <c r="C85" s="713">
        <v>0</v>
      </c>
      <c r="D85" s="713">
        <v>0</v>
      </c>
      <c r="E85" s="278">
        <v>0</v>
      </c>
      <c r="F85" s="278">
        <v>0</v>
      </c>
      <c r="G85" s="278">
        <v>0</v>
      </c>
      <c r="H85" s="278">
        <v>9000</v>
      </c>
      <c r="I85" s="278">
        <v>0</v>
      </c>
      <c r="J85" s="278">
        <v>9000</v>
      </c>
      <c r="K85" s="278">
        <v>0</v>
      </c>
      <c r="L85" s="278">
        <v>0</v>
      </c>
      <c r="M85" s="654">
        <v>0</v>
      </c>
      <c r="N85" s="468">
        <f t="shared" si="18"/>
        <v>18000</v>
      </c>
      <c r="O85" s="397">
        <v>27000</v>
      </c>
      <c r="P85" s="271">
        <v>15442</v>
      </c>
      <c r="Q85" s="286">
        <f t="shared" si="19"/>
        <v>2558</v>
      </c>
      <c r="R85" s="397">
        <v>27000</v>
      </c>
      <c r="S85" s="398">
        <f t="shared" si="15"/>
        <v>0</v>
      </c>
      <c r="T85" s="503"/>
      <c r="U85" s="369"/>
      <c r="V85" s="369"/>
      <c r="W85" s="369"/>
    </row>
    <row r="86" spans="1:23" s="267" customFormat="1" ht="13">
      <c r="A86" s="419" t="s">
        <v>171</v>
      </c>
      <c r="B86" s="721">
        <f>SUM(B79:B85)</f>
        <v>0</v>
      </c>
      <c r="C86" s="724">
        <f t="shared" ref="C86:M86" si="20">SUM(C79:C85)</f>
        <v>0</v>
      </c>
      <c r="D86" s="724">
        <f t="shared" si="20"/>
        <v>0</v>
      </c>
      <c r="E86" s="469">
        <f t="shared" si="20"/>
        <v>0</v>
      </c>
      <c r="F86" s="469">
        <f t="shared" si="20"/>
        <v>0</v>
      </c>
      <c r="G86" s="469">
        <f t="shared" si="20"/>
        <v>0</v>
      </c>
      <c r="H86" s="469">
        <f t="shared" si="20"/>
        <v>31900</v>
      </c>
      <c r="I86" s="469">
        <f t="shared" si="20"/>
        <v>4300</v>
      </c>
      <c r="J86" s="469">
        <f t="shared" si="20"/>
        <v>31900</v>
      </c>
      <c r="K86" s="469">
        <f t="shared" si="20"/>
        <v>4300</v>
      </c>
      <c r="L86" s="469">
        <f t="shared" si="20"/>
        <v>0</v>
      </c>
      <c r="M86" s="660">
        <f t="shared" si="20"/>
        <v>0</v>
      </c>
      <c r="N86" s="749">
        <f t="shared" si="18"/>
        <v>72400</v>
      </c>
      <c r="O86" s="399">
        <f>0+SUM(O79:O85)</f>
        <v>109100</v>
      </c>
      <c r="P86" s="469">
        <v>27942</v>
      </c>
      <c r="Q86" s="469">
        <f>N86-P86</f>
        <v>44458</v>
      </c>
      <c r="R86" s="573">
        <f>0+SUM(R79:R85)</f>
        <v>109100</v>
      </c>
      <c r="S86" s="398">
        <f t="shared" si="15"/>
        <v>0</v>
      </c>
      <c r="T86" s="503"/>
      <c r="U86" s="369"/>
      <c r="V86" s="369"/>
      <c r="W86" s="369"/>
    </row>
    <row r="87" spans="1:23" s="267" customFormat="1" ht="6" hidden="1" customHeight="1">
      <c r="A87" s="419"/>
      <c r="B87" s="715"/>
      <c r="C87" s="715"/>
      <c r="D87" s="715"/>
      <c r="E87" s="272"/>
      <c r="F87" s="272"/>
      <c r="G87" s="272"/>
      <c r="H87" s="272"/>
      <c r="I87" s="272"/>
      <c r="J87" s="272"/>
      <c r="K87" s="272"/>
      <c r="L87" s="272"/>
      <c r="M87" s="656"/>
      <c r="N87" s="468"/>
      <c r="O87" s="397"/>
      <c r="P87" s="370"/>
      <c r="Q87" s="370"/>
      <c r="R87" s="397"/>
      <c r="S87" s="398">
        <f t="shared" si="15"/>
        <v>0</v>
      </c>
      <c r="T87" s="503"/>
      <c r="U87" s="369"/>
      <c r="V87" s="369"/>
      <c r="W87" s="369"/>
    </row>
    <row r="88" spans="1:23" s="267" customFormat="1" ht="13" hidden="1">
      <c r="A88" s="424" t="s">
        <v>172</v>
      </c>
      <c r="B88" s="713"/>
      <c r="C88" s="732"/>
      <c r="D88" s="732"/>
      <c r="E88" s="271"/>
      <c r="F88" s="271"/>
      <c r="G88" s="271"/>
      <c r="H88" s="271"/>
      <c r="I88" s="271"/>
      <c r="J88" s="271"/>
      <c r="K88" s="271"/>
      <c r="L88" s="271"/>
      <c r="M88" s="654"/>
      <c r="N88" s="468"/>
      <c r="O88" s="397"/>
      <c r="P88" s="370"/>
      <c r="Q88" s="370"/>
      <c r="R88" s="397"/>
      <c r="S88" s="398">
        <f t="shared" si="15"/>
        <v>0</v>
      </c>
      <c r="T88" s="503"/>
      <c r="U88" s="369"/>
      <c r="V88" s="369"/>
      <c r="W88" s="369"/>
    </row>
    <row r="89" spans="1:23" s="267" customFormat="1" ht="13" hidden="1">
      <c r="A89" s="425" t="s">
        <v>173</v>
      </c>
      <c r="B89" s="713" t="e">
        <f>#REF!-#REF!</f>
        <v>#REF!</v>
      </c>
      <c r="C89" s="732" t="e">
        <f>#REF!-#REF!</f>
        <v>#REF!</v>
      </c>
      <c r="D89" s="732" t="e">
        <f>B89-#REF!</f>
        <v>#REF!</v>
      </c>
      <c r="E89" s="271" t="e">
        <f t="shared" ref="E89:M89" si="21">C89-B89</f>
        <v>#REF!</v>
      </c>
      <c r="F89" s="271" t="e">
        <f t="shared" si="21"/>
        <v>#REF!</v>
      </c>
      <c r="G89" s="271" t="e">
        <f t="shared" si="21"/>
        <v>#REF!</v>
      </c>
      <c r="H89" s="271" t="e">
        <f t="shared" si="21"/>
        <v>#REF!</v>
      </c>
      <c r="I89" s="271" t="e">
        <f t="shared" si="21"/>
        <v>#REF!</v>
      </c>
      <c r="J89" s="271" t="e">
        <f t="shared" si="21"/>
        <v>#REF!</v>
      </c>
      <c r="K89" s="271" t="e">
        <f t="shared" si="21"/>
        <v>#REF!</v>
      </c>
      <c r="L89" s="271" t="e">
        <f t="shared" si="21"/>
        <v>#REF!</v>
      </c>
      <c r="M89" s="654" t="e">
        <f t="shared" si="21"/>
        <v>#REF!</v>
      </c>
      <c r="N89" s="468"/>
      <c r="O89" s="397"/>
      <c r="P89" s="370"/>
      <c r="Q89" s="370"/>
      <c r="R89" s="397"/>
      <c r="S89" s="398">
        <f t="shared" si="15"/>
        <v>0</v>
      </c>
      <c r="T89" s="503"/>
      <c r="U89" s="369"/>
      <c r="V89" s="369"/>
      <c r="W89" s="369"/>
    </row>
    <row r="90" spans="1:23" s="267" customFormat="1" ht="13" hidden="1">
      <c r="A90" s="425" t="s">
        <v>174</v>
      </c>
      <c r="B90" s="713">
        <f>0</f>
        <v>0</v>
      </c>
      <c r="C90" s="732">
        <f>0</f>
        <v>0</v>
      </c>
      <c r="D90" s="732">
        <f>0</f>
        <v>0</v>
      </c>
      <c r="E90" s="271">
        <f>0</f>
        <v>0</v>
      </c>
      <c r="F90" s="271">
        <f>0</f>
        <v>0</v>
      </c>
      <c r="G90" s="271">
        <f>0</f>
        <v>0</v>
      </c>
      <c r="H90" s="271">
        <f>0</f>
        <v>0</v>
      </c>
      <c r="I90" s="271">
        <f>0</f>
        <v>0</v>
      </c>
      <c r="J90" s="271">
        <f>0</f>
        <v>0</v>
      </c>
      <c r="K90" s="271">
        <v>0</v>
      </c>
      <c r="L90" s="271">
        <f>0</f>
        <v>0</v>
      </c>
      <c r="M90" s="654">
        <f>0</f>
        <v>0</v>
      </c>
      <c r="N90" s="468"/>
      <c r="O90" s="397"/>
      <c r="P90" s="370"/>
      <c r="Q90" s="370"/>
      <c r="R90" s="397"/>
      <c r="S90" s="398">
        <f t="shared" si="15"/>
        <v>0</v>
      </c>
      <c r="T90" s="503"/>
      <c r="U90" s="369"/>
      <c r="V90" s="369"/>
      <c r="W90" s="369"/>
    </row>
    <row r="91" spans="1:23" s="267" customFormat="1" ht="13" hidden="1">
      <c r="A91" s="424" t="s">
        <v>175</v>
      </c>
      <c r="B91" s="713" t="e">
        <f>SUM(B89:B90)</f>
        <v>#REF!</v>
      </c>
      <c r="C91" s="732" t="e">
        <f t="shared" ref="C91:M91" si="22">SUM(C89:C90)</f>
        <v>#REF!</v>
      </c>
      <c r="D91" s="732" t="e">
        <f t="shared" si="22"/>
        <v>#REF!</v>
      </c>
      <c r="E91" s="271" t="e">
        <f t="shared" si="22"/>
        <v>#REF!</v>
      </c>
      <c r="F91" s="271" t="e">
        <f t="shared" si="22"/>
        <v>#REF!</v>
      </c>
      <c r="G91" s="271" t="e">
        <f t="shared" si="22"/>
        <v>#REF!</v>
      </c>
      <c r="H91" s="271" t="e">
        <f t="shared" si="22"/>
        <v>#REF!</v>
      </c>
      <c r="I91" s="271" t="e">
        <f t="shared" si="22"/>
        <v>#REF!</v>
      </c>
      <c r="J91" s="271" t="e">
        <f t="shared" si="22"/>
        <v>#REF!</v>
      </c>
      <c r="K91" s="271" t="e">
        <f t="shared" si="22"/>
        <v>#REF!</v>
      </c>
      <c r="L91" s="271" t="e">
        <f t="shared" si="22"/>
        <v>#REF!</v>
      </c>
      <c r="M91" s="654" t="e">
        <f t="shared" si="22"/>
        <v>#REF!</v>
      </c>
      <c r="N91" s="468"/>
      <c r="O91" s="397"/>
      <c r="P91" s="370"/>
      <c r="Q91" s="370"/>
      <c r="R91" s="397"/>
      <c r="S91" s="398">
        <f t="shared" si="15"/>
        <v>0</v>
      </c>
      <c r="T91" s="503"/>
      <c r="U91" s="369"/>
      <c r="V91" s="369"/>
      <c r="W91" s="369"/>
    </row>
    <row r="92" spans="1:23" s="267" customFormat="1" ht="15" customHeight="1">
      <c r="A92" s="419"/>
      <c r="B92" s="713"/>
      <c r="C92" s="732"/>
      <c r="D92" s="732"/>
      <c r="E92" s="271"/>
      <c r="F92" s="271"/>
      <c r="G92" s="271"/>
      <c r="H92" s="271"/>
      <c r="I92" s="271"/>
      <c r="J92" s="271"/>
      <c r="K92" s="271"/>
      <c r="L92" s="271"/>
      <c r="M92" s="654"/>
      <c r="N92" s="468"/>
      <c r="O92" s="397"/>
      <c r="P92" s="370"/>
      <c r="Q92" s="370"/>
      <c r="R92" s="397"/>
      <c r="S92" s="398">
        <f t="shared" si="15"/>
        <v>0</v>
      </c>
      <c r="T92" s="503"/>
      <c r="U92" s="369"/>
      <c r="V92" s="369"/>
      <c r="W92" s="369"/>
    </row>
    <row r="93" spans="1:23" s="267" customFormat="1" ht="13">
      <c r="A93" s="419" t="s">
        <v>176</v>
      </c>
      <c r="B93" s="713"/>
      <c r="C93" s="713"/>
      <c r="D93" s="713"/>
      <c r="E93" s="278"/>
      <c r="F93" s="278"/>
      <c r="G93" s="278"/>
      <c r="H93" s="278"/>
      <c r="I93" s="278"/>
      <c r="J93" s="278"/>
      <c r="K93" s="278"/>
      <c r="L93" s="278"/>
      <c r="M93" s="654"/>
      <c r="N93" s="468"/>
      <c r="O93" s="397"/>
      <c r="P93" s="133"/>
      <c r="Q93" s="133"/>
      <c r="R93" s="397"/>
      <c r="S93" s="398">
        <f t="shared" si="15"/>
        <v>0</v>
      </c>
      <c r="T93" s="500"/>
    </row>
    <row r="94" spans="1:23" s="267" customFormat="1" ht="13">
      <c r="A94" s="420" t="s">
        <v>177</v>
      </c>
      <c r="B94" s="723">
        <v>0</v>
      </c>
      <c r="C94" s="723">
        <v>0</v>
      </c>
      <c r="D94" s="723">
        <v>0</v>
      </c>
      <c r="E94" s="675">
        <v>0</v>
      </c>
      <c r="F94" s="675">
        <v>0</v>
      </c>
      <c r="G94" s="382">
        <v>1000</v>
      </c>
      <c r="H94" s="382">
        <v>0</v>
      </c>
      <c r="I94" s="382">
        <v>0</v>
      </c>
      <c r="J94" s="382">
        <v>0</v>
      </c>
      <c r="K94" s="382">
        <v>0</v>
      </c>
      <c r="L94" s="382">
        <v>0</v>
      </c>
      <c r="M94" s="661">
        <v>1000</v>
      </c>
      <c r="N94" s="645">
        <f t="shared" ref="N94:N98" si="23">SUM(B94:M94)</f>
        <v>2000</v>
      </c>
      <c r="O94" s="397">
        <v>3000</v>
      </c>
      <c r="P94" s="271">
        <v>10934</v>
      </c>
      <c r="Q94" s="274">
        <f>N94-P94</f>
        <v>-8934</v>
      </c>
      <c r="R94" s="397">
        <v>34200</v>
      </c>
      <c r="S94" s="398">
        <f t="shared" si="15"/>
        <v>-31200</v>
      </c>
      <c r="T94" s="500"/>
    </row>
    <row r="95" spans="1:23" s="267" customFormat="1" ht="13">
      <c r="A95" s="420" t="s">
        <v>178</v>
      </c>
      <c r="B95" s="713">
        <v>1918</v>
      </c>
      <c r="C95" s="713">
        <v>1150</v>
      </c>
      <c r="D95" s="713">
        <v>2150</v>
      </c>
      <c r="E95" s="278">
        <v>2100</v>
      </c>
      <c r="F95" s="278">
        <v>2100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654">
        <v>0</v>
      </c>
      <c r="N95" s="468">
        <f t="shared" si="23"/>
        <v>9418</v>
      </c>
      <c r="O95" s="397">
        <v>11000</v>
      </c>
      <c r="P95" s="271">
        <v>40387.379999999997</v>
      </c>
      <c r="Q95" s="274">
        <f>N95-P95</f>
        <v>-30969.379999999997</v>
      </c>
      <c r="R95" s="397">
        <v>52000</v>
      </c>
      <c r="S95" s="398">
        <f t="shared" si="15"/>
        <v>-41000</v>
      </c>
      <c r="T95" s="500"/>
    </row>
    <row r="96" spans="1:23" s="267" customFormat="1" ht="13">
      <c r="A96" s="420" t="s">
        <v>180</v>
      </c>
      <c r="B96" s="713">
        <v>0</v>
      </c>
      <c r="C96" s="713">
        <v>0</v>
      </c>
      <c r="D96" s="713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654">
        <v>0</v>
      </c>
      <c r="N96" s="468">
        <f t="shared" si="23"/>
        <v>0</v>
      </c>
      <c r="O96" s="397">
        <v>0</v>
      </c>
      <c r="P96" s="271"/>
      <c r="Q96" s="274"/>
      <c r="R96" s="397">
        <v>0</v>
      </c>
      <c r="S96" s="398">
        <f t="shared" si="15"/>
        <v>0</v>
      </c>
      <c r="T96" s="500"/>
    </row>
    <row r="97" spans="1:20" s="267" customFormat="1" ht="13">
      <c r="A97" s="420" t="s">
        <v>181</v>
      </c>
      <c r="B97" s="713">
        <v>0</v>
      </c>
      <c r="C97" s="713">
        <v>0</v>
      </c>
      <c r="D97" s="713">
        <v>0</v>
      </c>
      <c r="E97" s="278">
        <v>0</v>
      </c>
      <c r="F97" s="278">
        <v>0</v>
      </c>
      <c r="G97" s="278">
        <v>0</v>
      </c>
      <c r="H97" s="278">
        <v>0</v>
      </c>
      <c r="I97" s="278">
        <v>0</v>
      </c>
      <c r="J97" s="278">
        <v>0</v>
      </c>
      <c r="K97" s="278">
        <v>0</v>
      </c>
      <c r="L97" s="278">
        <v>0</v>
      </c>
      <c r="M97" s="654">
        <v>0</v>
      </c>
      <c r="N97" s="468">
        <f t="shared" si="23"/>
        <v>0</v>
      </c>
      <c r="O97" s="397">
        <v>0</v>
      </c>
      <c r="P97" s="271"/>
      <c r="Q97" s="274"/>
      <c r="R97" s="397">
        <v>0</v>
      </c>
      <c r="S97" s="398">
        <f t="shared" si="15"/>
        <v>0</v>
      </c>
      <c r="T97" s="500"/>
    </row>
    <row r="98" spans="1:20" s="267" customFormat="1" ht="13">
      <c r="A98" s="420" t="s">
        <v>182</v>
      </c>
      <c r="B98" s="713">
        <v>0</v>
      </c>
      <c r="C98" s="713">
        <v>0</v>
      </c>
      <c r="D98" s="713">
        <v>0</v>
      </c>
      <c r="E98" s="278">
        <v>500</v>
      </c>
      <c r="F98" s="278">
        <v>500</v>
      </c>
      <c r="G98" s="278">
        <v>500</v>
      </c>
      <c r="H98" s="278">
        <v>500</v>
      </c>
      <c r="I98" s="278">
        <v>500</v>
      </c>
      <c r="J98" s="278">
        <v>500</v>
      </c>
      <c r="K98" s="278">
        <v>500</v>
      </c>
      <c r="L98" s="278">
        <v>500</v>
      </c>
      <c r="M98" s="654">
        <v>500</v>
      </c>
      <c r="N98" s="468">
        <f t="shared" si="23"/>
        <v>4500</v>
      </c>
      <c r="O98" s="397">
        <v>6000</v>
      </c>
      <c r="P98" s="271"/>
      <c r="Q98" s="274"/>
      <c r="R98" s="397">
        <v>12500</v>
      </c>
      <c r="S98" s="398">
        <f t="shared" si="15"/>
        <v>-6500</v>
      </c>
      <c r="T98" s="500"/>
    </row>
    <row r="99" spans="1:20" s="267" customFormat="1" ht="13">
      <c r="A99" s="420" t="s">
        <v>184</v>
      </c>
      <c r="B99" s="713"/>
      <c r="C99" s="713"/>
      <c r="D99" s="713"/>
      <c r="E99" s="278"/>
      <c r="F99" s="278"/>
      <c r="G99" s="278"/>
      <c r="H99" s="271"/>
      <c r="I99" s="271"/>
      <c r="J99" s="271"/>
      <c r="K99" s="271"/>
      <c r="L99" s="271"/>
      <c r="M99" s="654"/>
      <c r="N99" s="646"/>
      <c r="O99" s="397"/>
      <c r="P99" s="271"/>
      <c r="Q99" s="274">
        <f>N99-P99</f>
        <v>0</v>
      </c>
      <c r="R99" s="397"/>
      <c r="S99" s="398">
        <f t="shared" si="15"/>
        <v>0</v>
      </c>
      <c r="T99" s="500"/>
    </row>
    <row r="100" spans="1:20" s="267" customFormat="1" ht="13">
      <c r="A100" s="420" t="s">
        <v>186</v>
      </c>
      <c r="B100" s="719">
        <v>0</v>
      </c>
      <c r="C100" s="713">
        <v>0</v>
      </c>
      <c r="D100" s="713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78">
        <v>0</v>
      </c>
      <c r="K100" s="677">
        <v>0</v>
      </c>
      <c r="L100" s="278">
        <v>0</v>
      </c>
      <c r="M100" s="654">
        <v>0</v>
      </c>
      <c r="N100" s="468">
        <f>SUM(B100:M100)</f>
        <v>0</v>
      </c>
      <c r="O100" s="397">
        <v>3500</v>
      </c>
      <c r="P100" s="271">
        <v>0</v>
      </c>
      <c r="Q100" s="274">
        <f>N100-P100</f>
        <v>0</v>
      </c>
      <c r="R100" s="397">
        <v>7000</v>
      </c>
      <c r="S100" s="398">
        <f t="shared" si="15"/>
        <v>-3500</v>
      </c>
      <c r="T100" s="500"/>
    </row>
    <row r="101" spans="1:20" s="267" customFormat="1" ht="13">
      <c r="A101" s="420" t="s">
        <v>187</v>
      </c>
      <c r="B101" s="719">
        <v>0</v>
      </c>
      <c r="C101" s="713">
        <v>0</v>
      </c>
      <c r="D101" s="713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677">
        <v>0</v>
      </c>
      <c r="L101" s="278">
        <v>0</v>
      </c>
      <c r="M101" s="654">
        <v>0</v>
      </c>
      <c r="N101" s="468">
        <f t="shared" ref="N101:N106" si="24">SUM(B101:M101)</f>
        <v>0</v>
      </c>
      <c r="O101" s="397">
        <v>1500</v>
      </c>
      <c r="P101" s="271">
        <v>11057.409999999998</v>
      </c>
      <c r="Q101" s="274">
        <f>N101-P101</f>
        <v>-11057.409999999998</v>
      </c>
      <c r="R101" s="397">
        <v>3000</v>
      </c>
      <c r="S101" s="398">
        <f t="shared" si="15"/>
        <v>-1500</v>
      </c>
      <c r="T101" s="500"/>
    </row>
    <row r="102" spans="1:20" s="267" customFormat="1" ht="13">
      <c r="A102" s="420" t="s">
        <v>188</v>
      </c>
      <c r="B102" s="719">
        <v>0</v>
      </c>
      <c r="C102" s="713">
        <v>0</v>
      </c>
      <c r="D102" s="713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677">
        <v>0</v>
      </c>
      <c r="L102" s="278">
        <v>0</v>
      </c>
      <c r="M102" s="654">
        <v>0</v>
      </c>
      <c r="N102" s="468">
        <f>SUM(B102:M102)</f>
        <v>0</v>
      </c>
      <c r="O102" s="397">
        <v>1000</v>
      </c>
      <c r="P102" s="271">
        <v>5082.8500000000004</v>
      </c>
      <c r="Q102" s="274">
        <f>N102-P102</f>
        <v>-5082.8500000000004</v>
      </c>
      <c r="R102" s="397">
        <v>2000</v>
      </c>
      <c r="S102" s="398">
        <f t="shared" si="15"/>
        <v>-1000</v>
      </c>
      <c r="T102" s="500"/>
    </row>
    <row r="103" spans="1:20" s="267" customFormat="1" ht="13">
      <c r="A103" s="420" t="s">
        <v>189</v>
      </c>
      <c r="B103" s="719">
        <v>0</v>
      </c>
      <c r="C103" s="713">
        <v>0</v>
      </c>
      <c r="D103" s="713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677">
        <v>0</v>
      </c>
      <c r="L103" s="278">
        <v>0</v>
      </c>
      <c r="M103" s="654">
        <v>0</v>
      </c>
      <c r="N103" s="468">
        <f t="shared" si="24"/>
        <v>0</v>
      </c>
      <c r="O103" s="397">
        <v>1000</v>
      </c>
      <c r="P103" s="271">
        <v>7928.23</v>
      </c>
      <c r="Q103" s="274">
        <f>N103-P103</f>
        <v>-7928.23</v>
      </c>
      <c r="R103" s="397">
        <v>2000</v>
      </c>
      <c r="S103" s="398">
        <f t="shared" si="15"/>
        <v>-1000</v>
      </c>
      <c r="T103" s="500"/>
    </row>
    <row r="104" spans="1:20" s="267" customFormat="1" ht="13">
      <c r="A104" s="420" t="s">
        <v>190</v>
      </c>
      <c r="B104" s="719">
        <v>0</v>
      </c>
      <c r="C104" s="713">
        <v>0</v>
      </c>
      <c r="D104" s="713">
        <v>0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K104" s="677">
        <v>0</v>
      </c>
      <c r="L104" s="278">
        <v>0</v>
      </c>
      <c r="M104" s="654">
        <v>0</v>
      </c>
      <c r="N104" s="468">
        <f t="shared" si="24"/>
        <v>0</v>
      </c>
      <c r="O104" s="397">
        <v>2000</v>
      </c>
      <c r="P104" s="271"/>
      <c r="Q104" s="274"/>
      <c r="R104" s="397">
        <v>4000</v>
      </c>
      <c r="S104" s="398">
        <f t="shared" si="15"/>
        <v>-2000</v>
      </c>
      <c r="T104" s="500"/>
    </row>
    <row r="105" spans="1:20" s="267" customFormat="1" ht="13">
      <c r="A105" s="426" t="s">
        <v>191</v>
      </c>
      <c r="B105" s="719">
        <v>0</v>
      </c>
      <c r="C105" s="713">
        <v>0</v>
      </c>
      <c r="D105" s="713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677">
        <v>0</v>
      </c>
      <c r="L105" s="278">
        <v>0</v>
      </c>
      <c r="M105" s="654">
        <v>0</v>
      </c>
      <c r="N105" s="468">
        <f t="shared" si="24"/>
        <v>0</v>
      </c>
      <c r="O105" s="397">
        <v>1000</v>
      </c>
      <c r="P105" s="271"/>
      <c r="Q105" s="274"/>
      <c r="R105" s="397">
        <v>2000</v>
      </c>
      <c r="S105" s="398">
        <f t="shared" si="15"/>
        <v>-1000</v>
      </c>
      <c r="T105" s="500"/>
    </row>
    <row r="106" spans="1:20" s="267" customFormat="1" ht="13">
      <c r="A106" s="426" t="s">
        <v>298</v>
      </c>
      <c r="B106" s="719">
        <v>99</v>
      </c>
      <c r="C106" s="713">
        <v>530.75</v>
      </c>
      <c r="D106" s="713">
        <v>1511.5</v>
      </c>
      <c r="E106" s="278">
        <v>200</v>
      </c>
      <c r="F106" s="278">
        <v>200</v>
      </c>
      <c r="G106" s="278">
        <v>200</v>
      </c>
      <c r="H106" s="278">
        <v>200</v>
      </c>
      <c r="I106" s="278">
        <v>200</v>
      </c>
      <c r="J106" s="278">
        <v>200</v>
      </c>
      <c r="K106" s="677">
        <v>200</v>
      </c>
      <c r="L106" s="278">
        <v>200</v>
      </c>
      <c r="M106" s="654">
        <v>200</v>
      </c>
      <c r="N106" s="468">
        <f t="shared" si="24"/>
        <v>3941.25</v>
      </c>
      <c r="O106" s="397"/>
      <c r="P106" s="271"/>
      <c r="Q106" s="274"/>
      <c r="R106" s="397"/>
      <c r="S106" s="398"/>
      <c r="T106" s="500"/>
    </row>
    <row r="107" spans="1:20" s="267" customFormat="1" ht="13">
      <c r="A107" s="577" t="s">
        <v>194</v>
      </c>
      <c r="B107" s="719">
        <v>0</v>
      </c>
      <c r="C107" s="713">
        <v>0</v>
      </c>
      <c r="D107" s="713">
        <v>0</v>
      </c>
      <c r="E107" s="677">
        <v>0</v>
      </c>
      <c r="F107" s="677">
        <v>0</v>
      </c>
      <c r="G107" s="677">
        <v>0</v>
      </c>
      <c r="H107" s="677">
        <v>0</v>
      </c>
      <c r="I107" s="677">
        <v>0</v>
      </c>
      <c r="J107" s="677">
        <v>0</v>
      </c>
      <c r="K107" s="677">
        <v>0</v>
      </c>
      <c r="L107" s="677">
        <v>0</v>
      </c>
      <c r="M107" s="696">
        <v>0</v>
      </c>
      <c r="N107" s="468">
        <f>SUM(B107:M107)</f>
        <v>0</v>
      </c>
      <c r="O107" s="397">
        <v>0</v>
      </c>
      <c r="P107" s="278"/>
      <c r="Q107" s="286"/>
      <c r="R107" s="397">
        <v>64000</v>
      </c>
      <c r="S107" s="398">
        <f t="shared" si="15"/>
        <v>-64000</v>
      </c>
      <c r="T107" s="500"/>
    </row>
    <row r="108" spans="1:20" s="267" customFormat="1" ht="13">
      <c r="A108" s="419" t="s">
        <v>92</v>
      </c>
      <c r="B108" s="724">
        <f t="shared" ref="B108:M108" si="25">SUM(B94:B107)</f>
        <v>2017</v>
      </c>
      <c r="C108" s="715">
        <f t="shared" si="25"/>
        <v>1680.75</v>
      </c>
      <c r="D108" s="724">
        <f t="shared" si="25"/>
        <v>3661.5</v>
      </c>
      <c r="E108" s="469">
        <f t="shared" si="25"/>
        <v>2800</v>
      </c>
      <c r="F108" s="469">
        <f t="shared" si="25"/>
        <v>2800</v>
      </c>
      <c r="G108" s="469">
        <f t="shared" si="25"/>
        <v>1700</v>
      </c>
      <c r="H108" s="469">
        <f t="shared" si="25"/>
        <v>700</v>
      </c>
      <c r="I108" s="469">
        <f t="shared" si="25"/>
        <v>700</v>
      </c>
      <c r="J108" s="469">
        <f t="shared" si="25"/>
        <v>700</v>
      </c>
      <c r="K108" s="469">
        <f t="shared" si="25"/>
        <v>700</v>
      </c>
      <c r="L108" s="469">
        <f t="shared" si="25"/>
        <v>700</v>
      </c>
      <c r="M108" s="660">
        <f t="shared" si="25"/>
        <v>1700</v>
      </c>
      <c r="N108" s="641">
        <f>SUM(B108:M108)</f>
        <v>19859.25</v>
      </c>
      <c r="O108" s="440">
        <f>SUM(O92:O107)</f>
        <v>30000</v>
      </c>
      <c r="P108" s="276">
        <v>80414.87</v>
      </c>
      <c r="Q108" s="276">
        <f>N108-P108</f>
        <v>-60555.619999999995</v>
      </c>
      <c r="R108" s="440">
        <f>SUM(R92:R107)</f>
        <v>182700</v>
      </c>
      <c r="S108" s="398">
        <f t="shared" si="15"/>
        <v>-152700</v>
      </c>
      <c r="T108" s="500"/>
    </row>
    <row r="109" spans="1:20" s="267" customFormat="1" ht="13" customHeight="1">
      <c r="A109" s="419"/>
      <c r="B109" s="715"/>
      <c r="C109" s="735"/>
      <c r="D109" s="715"/>
      <c r="E109" s="272"/>
      <c r="F109" s="272"/>
      <c r="G109" s="272"/>
      <c r="H109" s="272"/>
      <c r="I109" s="272"/>
      <c r="J109" s="272"/>
      <c r="K109" s="272"/>
      <c r="L109" s="272"/>
      <c r="M109" s="656"/>
      <c r="N109" s="468"/>
      <c r="O109" s="397"/>
      <c r="P109" s="133"/>
      <c r="Q109" s="133"/>
      <c r="R109" s="397"/>
      <c r="S109" s="398">
        <f t="shared" si="15"/>
        <v>0</v>
      </c>
      <c r="T109" s="500"/>
    </row>
    <row r="110" spans="1:20" s="267" customFormat="1" ht="14" customHeight="1">
      <c r="A110" s="419"/>
      <c r="B110" s="715"/>
      <c r="C110" s="715"/>
      <c r="D110" s="715"/>
      <c r="E110" s="272"/>
      <c r="F110" s="272"/>
      <c r="G110" s="272"/>
      <c r="H110" s="272"/>
      <c r="I110" s="272"/>
      <c r="J110" s="272"/>
      <c r="K110" s="272"/>
      <c r="L110" s="272"/>
      <c r="M110" s="656"/>
      <c r="N110" s="468"/>
      <c r="O110" s="397"/>
      <c r="P110" s="133"/>
      <c r="Q110" s="133"/>
      <c r="R110" s="397"/>
      <c r="S110" s="398">
        <f t="shared" si="15"/>
        <v>0</v>
      </c>
      <c r="T110" s="500"/>
    </row>
    <row r="111" spans="1:20" s="267" customFormat="1" ht="13">
      <c r="A111" s="419" t="s">
        <v>195</v>
      </c>
      <c r="B111" s="713"/>
      <c r="C111" s="732"/>
      <c r="D111" s="732"/>
      <c r="E111" s="271"/>
      <c r="F111" s="271"/>
      <c r="G111" s="271"/>
      <c r="H111" s="271"/>
      <c r="I111" s="271"/>
      <c r="J111" s="271"/>
      <c r="K111" s="271"/>
      <c r="L111" s="271"/>
      <c r="M111" s="654"/>
      <c r="N111" s="468"/>
      <c r="O111" s="397"/>
      <c r="P111" s="133"/>
      <c r="Q111" s="133"/>
      <c r="R111" s="397"/>
      <c r="S111" s="398">
        <f t="shared" si="15"/>
        <v>0</v>
      </c>
      <c r="T111" s="500"/>
    </row>
    <row r="112" spans="1:20" s="267" customFormat="1" ht="13">
      <c r="A112" s="420" t="s">
        <v>196</v>
      </c>
      <c r="B112" s="713">
        <v>0</v>
      </c>
      <c r="C112" s="732">
        <v>0</v>
      </c>
      <c r="D112" s="732">
        <v>0</v>
      </c>
      <c r="E112" s="271">
        <v>0</v>
      </c>
      <c r="F112" s="271">
        <v>0</v>
      </c>
      <c r="G112" s="271">
        <v>0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654">
        <v>0</v>
      </c>
      <c r="N112" s="468">
        <f>SUM(B112:M112)</f>
        <v>0</v>
      </c>
      <c r="O112" s="397">
        <v>0</v>
      </c>
      <c r="P112" s="271">
        <v>11031.75</v>
      </c>
      <c r="Q112" s="274">
        <f>N112-P112</f>
        <v>-11031.75</v>
      </c>
      <c r="R112" s="397">
        <v>0</v>
      </c>
      <c r="S112" s="398">
        <f>O112-R112</f>
        <v>0</v>
      </c>
      <c r="T112" s="500"/>
    </row>
    <row r="113" spans="1:20" s="738" customFormat="1" ht="13">
      <c r="A113" s="420" t="s">
        <v>689</v>
      </c>
      <c r="B113" s="740"/>
      <c r="C113" s="740">
        <v>-1063.9100000000001</v>
      </c>
      <c r="D113" s="740"/>
      <c r="M113" s="741"/>
      <c r="N113" s="736"/>
      <c r="O113" s="737"/>
      <c r="S113" s="739"/>
    </row>
    <row r="114" spans="1:20" s="267" customFormat="1" ht="13">
      <c r="A114" s="419" t="s">
        <v>223</v>
      </c>
      <c r="B114" s="721">
        <f>SUM(B112:B112)</f>
        <v>0</v>
      </c>
      <c r="C114" s="724">
        <f>SUM(C112:C113)</f>
        <v>-1063.9100000000001</v>
      </c>
      <c r="D114" s="724">
        <f t="shared" ref="D114:M114" si="26">SUM(D112:D112)</f>
        <v>0</v>
      </c>
      <c r="E114" s="469">
        <f t="shared" si="26"/>
        <v>0</v>
      </c>
      <c r="F114" s="469">
        <f t="shared" si="26"/>
        <v>0</v>
      </c>
      <c r="G114" s="469">
        <f t="shared" si="26"/>
        <v>0</v>
      </c>
      <c r="H114" s="469">
        <f t="shared" si="26"/>
        <v>0</v>
      </c>
      <c r="I114" s="469">
        <f t="shared" si="26"/>
        <v>0</v>
      </c>
      <c r="J114" s="469">
        <f t="shared" si="26"/>
        <v>0</v>
      </c>
      <c r="K114" s="469">
        <f t="shared" si="26"/>
        <v>0</v>
      </c>
      <c r="L114" s="469">
        <f t="shared" si="26"/>
        <v>0</v>
      </c>
      <c r="M114" s="660">
        <f t="shared" si="26"/>
        <v>0</v>
      </c>
      <c r="N114" s="467">
        <f>SUM(B114:M114)</f>
        <v>-1063.9100000000001</v>
      </c>
      <c r="O114" s="399">
        <v>0</v>
      </c>
      <c r="P114" s="469">
        <v>18072.3</v>
      </c>
      <c r="Q114" s="469">
        <f>N114-P114</f>
        <v>-19136.21</v>
      </c>
      <c r="R114" s="408">
        <v>0</v>
      </c>
      <c r="S114" s="398">
        <f t="shared" si="15"/>
        <v>0</v>
      </c>
      <c r="T114" s="500"/>
    </row>
    <row r="115" spans="1:20" s="267" customFormat="1" ht="6" customHeight="1">
      <c r="A115" s="419"/>
      <c r="B115" s="715"/>
      <c r="C115" s="715"/>
      <c r="D115" s="715"/>
      <c r="E115" s="272"/>
      <c r="F115" s="272"/>
      <c r="G115" s="272"/>
      <c r="H115" s="272"/>
      <c r="I115" s="272"/>
      <c r="J115" s="272"/>
      <c r="K115" s="272"/>
      <c r="L115" s="272"/>
      <c r="M115" s="656"/>
      <c r="N115" s="468"/>
      <c r="O115" s="397"/>
      <c r="P115" s="133"/>
      <c r="Q115" s="133"/>
      <c r="R115" s="397"/>
      <c r="S115" s="398">
        <f t="shared" si="15"/>
        <v>0</v>
      </c>
      <c r="T115" s="500"/>
    </row>
    <row r="116" spans="1:20" s="267" customFormat="1" ht="14.5" customHeight="1">
      <c r="A116" s="419" t="s">
        <v>198</v>
      </c>
      <c r="B116" s="715"/>
      <c r="C116" s="715"/>
      <c r="D116" s="715"/>
      <c r="E116" s="272"/>
      <c r="F116" s="272"/>
      <c r="G116" s="272"/>
      <c r="H116" s="272"/>
      <c r="I116" s="272"/>
      <c r="J116" s="272"/>
      <c r="K116" s="272"/>
      <c r="L116" s="272"/>
      <c r="M116" s="656"/>
      <c r="N116" s="468"/>
      <c r="O116" s="397"/>
      <c r="P116" s="133"/>
      <c r="Q116" s="133"/>
      <c r="R116" s="397"/>
      <c r="S116" s="398">
        <f t="shared" si="15"/>
        <v>0</v>
      </c>
      <c r="T116" s="500"/>
    </row>
    <row r="117" spans="1:20" s="267" customFormat="1" ht="13">
      <c r="A117" s="420" t="s">
        <v>199</v>
      </c>
      <c r="B117" s="713">
        <v>17956</v>
      </c>
      <c r="C117" s="713">
        <v>17956</v>
      </c>
      <c r="D117" s="713">
        <v>17956</v>
      </c>
      <c r="E117" s="278">
        <v>18000</v>
      </c>
      <c r="F117" s="278">
        <v>18000</v>
      </c>
      <c r="G117" s="278">
        <v>18000</v>
      </c>
      <c r="H117" s="278">
        <v>18000</v>
      </c>
      <c r="I117" s="278">
        <v>18000</v>
      </c>
      <c r="J117" s="278">
        <v>18000</v>
      </c>
      <c r="K117" s="278">
        <v>18000</v>
      </c>
      <c r="L117" s="278">
        <v>18000</v>
      </c>
      <c r="M117" s="654">
        <v>18000</v>
      </c>
      <c r="N117" s="468">
        <f>SUM(B117:M117)</f>
        <v>215868</v>
      </c>
      <c r="O117" s="397">
        <v>216000</v>
      </c>
      <c r="P117" s="271">
        <v>376153.68000000011</v>
      </c>
      <c r="Q117" s="274">
        <f>N117-P117</f>
        <v>-160285.68000000011</v>
      </c>
      <c r="R117" s="397">
        <v>216000</v>
      </c>
      <c r="S117" s="398">
        <f t="shared" si="15"/>
        <v>0</v>
      </c>
      <c r="T117" s="500"/>
    </row>
    <row r="118" spans="1:20" s="267" customFormat="1" ht="13">
      <c r="A118" s="420" t="s">
        <v>200</v>
      </c>
      <c r="B118" s="713">
        <v>21876</v>
      </c>
      <c r="C118" s="713">
        <v>8927.5</v>
      </c>
      <c r="D118" s="713">
        <v>7428</v>
      </c>
      <c r="E118" s="278">
        <v>0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  <c r="L118" s="278">
        <v>0</v>
      </c>
      <c r="M118" s="654">
        <v>0</v>
      </c>
      <c r="N118" s="468">
        <f>SUM(B118:M118)</f>
        <v>38231.5</v>
      </c>
      <c r="O118" s="397"/>
      <c r="P118" s="271">
        <v>46507.833333333336</v>
      </c>
      <c r="Q118" s="274">
        <f>N118-P118</f>
        <v>-8276.3333333333358</v>
      </c>
      <c r="R118" s="397"/>
      <c r="S118" s="398">
        <f t="shared" si="15"/>
        <v>0</v>
      </c>
      <c r="T118" s="507"/>
    </row>
    <row r="119" spans="1:20" s="705" customFormat="1" ht="26">
      <c r="A119" s="697" t="s">
        <v>201</v>
      </c>
      <c r="B119" s="717">
        <v>0</v>
      </c>
      <c r="C119" s="717">
        <v>0</v>
      </c>
      <c r="D119" s="717">
        <v>0</v>
      </c>
      <c r="E119" s="674">
        <v>0</v>
      </c>
      <c r="F119" s="674">
        <v>0</v>
      </c>
      <c r="G119" s="674">
        <v>0</v>
      </c>
      <c r="H119" s="674">
        <v>0</v>
      </c>
      <c r="I119" s="674">
        <v>0</v>
      </c>
      <c r="J119" s="674">
        <v>0</v>
      </c>
      <c r="K119" s="674">
        <v>0</v>
      </c>
      <c r="L119" s="674">
        <v>0</v>
      </c>
      <c r="M119" s="698">
        <v>0</v>
      </c>
      <c r="N119" s="699">
        <f>SUM(B119:M119)</f>
        <v>0</v>
      </c>
      <c r="O119" s="700">
        <v>10000</v>
      </c>
      <c r="P119" s="701"/>
      <c r="Q119" s="702"/>
      <c r="R119" s="700">
        <v>150000</v>
      </c>
      <c r="S119" s="703">
        <f t="shared" si="15"/>
        <v>-140000</v>
      </c>
      <c r="T119" s="704" t="s">
        <v>256</v>
      </c>
    </row>
    <row r="120" spans="1:20" s="705" customFormat="1" ht="39">
      <c r="A120" s="697" t="s">
        <v>202</v>
      </c>
      <c r="B120" s="717">
        <v>0</v>
      </c>
      <c r="C120" s="717">
        <v>0</v>
      </c>
      <c r="D120" s="717">
        <v>0</v>
      </c>
      <c r="E120" s="674">
        <v>4000</v>
      </c>
      <c r="F120" s="674">
        <v>4000</v>
      </c>
      <c r="G120" s="674">
        <v>4000</v>
      </c>
      <c r="H120" s="674">
        <v>0</v>
      </c>
      <c r="I120" s="674">
        <v>0</v>
      </c>
      <c r="J120" s="674">
        <v>0</v>
      </c>
      <c r="K120" s="674">
        <v>0</v>
      </c>
      <c r="L120" s="674">
        <v>0</v>
      </c>
      <c r="M120" s="698">
        <v>0</v>
      </c>
      <c r="N120" s="699">
        <f t="shared" ref="N120:N129" si="27">SUM(B120:M120)</f>
        <v>12000</v>
      </c>
      <c r="O120" s="700">
        <v>50500</v>
      </c>
      <c r="P120" s="701"/>
      <c r="Q120" s="702"/>
      <c r="R120" s="700">
        <v>84000</v>
      </c>
      <c r="S120" s="703">
        <f t="shared" si="15"/>
        <v>-33500</v>
      </c>
      <c r="T120" s="704" t="s">
        <v>263</v>
      </c>
    </row>
    <row r="121" spans="1:20" s="527" customFormat="1" ht="13">
      <c r="A121" s="519" t="s">
        <v>203</v>
      </c>
      <c r="B121" s="717">
        <v>0</v>
      </c>
      <c r="C121" s="717">
        <v>0</v>
      </c>
      <c r="D121" s="717">
        <v>0</v>
      </c>
      <c r="E121" s="520">
        <v>1700</v>
      </c>
      <c r="F121" s="520">
        <v>1700</v>
      </c>
      <c r="G121" s="520">
        <v>1700</v>
      </c>
      <c r="H121" s="520">
        <v>1700</v>
      </c>
      <c r="I121" s="520">
        <v>1700</v>
      </c>
      <c r="J121" s="520">
        <v>1700</v>
      </c>
      <c r="K121" s="520">
        <v>1700</v>
      </c>
      <c r="L121" s="520">
        <v>1700</v>
      </c>
      <c r="M121" s="658">
        <v>1700</v>
      </c>
      <c r="N121" s="673">
        <f>SUM(B121:M121)</f>
        <v>15300</v>
      </c>
      <c r="O121" s="542">
        <v>20400</v>
      </c>
      <c r="P121" s="521"/>
      <c r="Q121" s="543"/>
      <c r="R121" s="542">
        <v>20400</v>
      </c>
      <c r="S121" s="525">
        <f t="shared" si="15"/>
        <v>0</v>
      </c>
      <c r="T121" s="526"/>
    </row>
    <row r="122" spans="1:20" s="527" customFormat="1" ht="39">
      <c r="A122" s="519" t="s">
        <v>204</v>
      </c>
      <c r="B122" s="717">
        <v>0</v>
      </c>
      <c r="C122" s="717">
        <v>0</v>
      </c>
      <c r="D122" s="717">
        <v>0</v>
      </c>
      <c r="E122" s="520">
        <v>0</v>
      </c>
      <c r="F122" s="520">
        <v>0</v>
      </c>
      <c r="G122" s="520">
        <v>0</v>
      </c>
      <c r="H122" s="520">
        <v>0</v>
      </c>
      <c r="I122" s="520">
        <v>0</v>
      </c>
      <c r="J122" s="520">
        <v>0</v>
      </c>
      <c r="K122" s="520">
        <v>0</v>
      </c>
      <c r="L122" s="520">
        <v>0</v>
      </c>
      <c r="M122" s="658">
        <v>0</v>
      </c>
      <c r="N122" s="673">
        <f t="shared" si="27"/>
        <v>0</v>
      </c>
      <c r="O122" s="542">
        <v>3000</v>
      </c>
      <c r="P122" s="521"/>
      <c r="Q122" s="543"/>
      <c r="R122" s="542">
        <v>48000</v>
      </c>
      <c r="S122" s="525">
        <f t="shared" si="15"/>
        <v>-45000</v>
      </c>
      <c r="T122" s="526" t="s">
        <v>264</v>
      </c>
    </row>
    <row r="123" spans="1:20" s="527" customFormat="1" ht="13">
      <c r="A123" s="519" t="s">
        <v>205</v>
      </c>
      <c r="B123" s="717">
        <v>0</v>
      </c>
      <c r="C123" s="717">
        <v>0</v>
      </c>
      <c r="D123" s="717">
        <v>0</v>
      </c>
      <c r="E123" s="520">
        <v>500</v>
      </c>
      <c r="F123" s="520">
        <v>500</v>
      </c>
      <c r="G123" s="520">
        <v>500</v>
      </c>
      <c r="H123" s="520">
        <v>500</v>
      </c>
      <c r="I123" s="520">
        <v>500</v>
      </c>
      <c r="J123" s="520">
        <v>500</v>
      </c>
      <c r="K123" s="520">
        <v>500</v>
      </c>
      <c r="L123" s="520">
        <v>500</v>
      </c>
      <c r="M123" s="658">
        <v>500</v>
      </c>
      <c r="N123" s="673">
        <f t="shared" si="27"/>
        <v>4500</v>
      </c>
      <c r="O123" s="542">
        <v>6000</v>
      </c>
      <c r="P123" s="521"/>
      <c r="Q123" s="543"/>
      <c r="R123" s="542">
        <v>6000</v>
      </c>
      <c r="S123" s="525">
        <f t="shared" si="15"/>
        <v>0</v>
      </c>
      <c r="T123" s="526"/>
    </row>
    <row r="124" spans="1:20" s="527" customFormat="1" ht="13">
      <c r="A124" s="519" t="s">
        <v>257</v>
      </c>
      <c r="B124" s="717">
        <v>0</v>
      </c>
      <c r="C124" s="717">
        <v>0</v>
      </c>
      <c r="D124" s="717">
        <v>0</v>
      </c>
      <c r="E124" s="520">
        <v>0</v>
      </c>
      <c r="F124" s="520">
        <v>0</v>
      </c>
      <c r="G124" s="520">
        <v>0</v>
      </c>
      <c r="H124" s="520">
        <v>0</v>
      </c>
      <c r="I124" s="520">
        <v>0</v>
      </c>
      <c r="J124" s="520">
        <v>0</v>
      </c>
      <c r="K124" s="520">
        <v>0</v>
      </c>
      <c r="L124" s="520">
        <v>0</v>
      </c>
      <c r="M124" s="658">
        <v>0</v>
      </c>
      <c r="N124" s="673">
        <f t="shared" si="27"/>
        <v>0</v>
      </c>
      <c r="O124" s="542">
        <v>0</v>
      </c>
      <c r="P124" s="521"/>
      <c r="Q124" s="543"/>
      <c r="R124" s="542">
        <v>24000</v>
      </c>
      <c r="S124" s="525">
        <f t="shared" si="15"/>
        <v>-24000</v>
      </c>
      <c r="T124" s="526"/>
    </row>
    <row r="125" spans="1:20" s="527" customFormat="1" ht="13">
      <c r="A125" s="519" t="s">
        <v>207</v>
      </c>
      <c r="B125" s="717">
        <v>0</v>
      </c>
      <c r="C125" s="717">
        <v>0</v>
      </c>
      <c r="D125" s="717">
        <v>0</v>
      </c>
      <c r="E125" s="520">
        <v>2000</v>
      </c>
      <c r="F125" s="520">
        <v>2000</v>
      </c>
      <c r="G125" s="520">
        <v>2000</v>
      </c>
      <c r="H125" s="520">
        <v>2000</v>
      </c>
      <c r="I125" s="520">
        <v>2000</v>
      </c>
      <c r="J125" s="520">
        <v>2000</v>
      </c>
      <c r="K125" s="520">
        <v>2000</v>
      </c>
      <c r="L125" s="520">
        <v>2000</v>
      </c>
      <c r="M125" s="658">
        <v>2000</v>
      </c>
      <c r="N125" s="673">
        <f>SUM(B125:M125)</f>
        <v>18000</v>
      </c>
      <c r="O125" s="542">
        <v>24000</v>
      </c>
      <c r="P125" s="521"/>
      <c r="Q125" s="543"/>
      <c r="R125" s="542">
        <v>24000</v>
      </c>
      <c r="S125" s="525">
        <f t="shared" si="15"/>
        <v>0</v>
      </c>
      <c r="T125" s="526"/>
    </row>
    <row r="126" spans="1:20" s="527" customFormat="1" ht="26">
      <c r="A126" s="519" t="s">
        <v>258</v>
      </c>
      <c r="B126" s="717">
        <v>0</v>
      </c>
      <c r="C126" s="717">
        <v>0</v>
      </c>
      <c r="D126" s="717">
        <v>0</v>
      </c>
      <c r="E126" s="520">
        <v>1000</v>
      </c>
      <c r="F126" s="520">
        <v>1000</v>
      </c>
      <c r="G126" s="520">
        <v>1000</v>
      </c>
      <c r="H126" s="520">
        <v>1000</v>
      </c>
      <c r="I126" s="520">
        <v>1000</v>
      </c>
      <c r="J126" s="520">
        <v>1000</v>
      </c>
      <c r="K126" s="520">
        <v>1000</v>
      </c>
      <c r="L126" s="520">
        <v>1000</v>
      </c>
      <c r="M126" s="658">
        <v>1000</v>
      </c>
      <c r="N126" s="673">
        <f>SUM(B126:M126)</f>
        <v>9000</v>
      </c>
      <c r="O126" s="542">
        <v>12000</v>
      </c>
      <c r="P126" s="521"/>
      <c r="Q126" s="543"/>
      <c r="R126" s="542">
        <v>48000</v>
      </c>
      <c r="S126" s="525">
        <f t="shared" si="15"/>
        <v>-36000</v>
      </c>
      <c r="T126" s="526" t="s">
        <v>265</v>
      </c>
    </row>
    <row r="127" spans="1:20" s="527" customFormat="1" ht="26">
      <c r="A127" s="519" t="s">
        <v>209</v>
      </c>
      <c r="B127" s="717">
        <v>0</v>
      </c>
      <c r="C127" s="717">
        <v>0</v>
      </c>
      <c r="D127" s="717">
        <v>0</v>
      </c>
      <c r="E127" s="520">
        <v>0</v>
      </c>
      <c r="F127" s="520">
        <v>0</v>
      </c>
      <c r="G127" s="520">
        <v>0</v>
      </c>
      <c r="H127" s="520">
        <v>0</v>
      </c>
      <c r="I127" s="520">
        <v>0</v>
      </c>
      <c r="J127" s="520">
        <v>0</v>
      </c>
      <c r="K127" s="520">
        <v>0</v>
      </c>
      <c r="L127" s="520">
        <v>0</v>
      </c>
      <c r="M127" s="658">
        <v>0</v>
      </c>
      <c r="N127" s="673">
        <f>SUM(B127:M127)</f>
        <v>0</v>
      </c>
      <c r="O127" s="542">
        <v>0</v>
      </c>
      <c r="P127" s="521"/>
      <c r="Q127" s="543"/>
      <c r="R127" s="542">
        <v>36000</v>
      </c>
      <c r="S127" s="525">
        <f t="shared" si="15"/>
        <v>-36000</v>
      </c>
      <c r="T127" s="526" t="s">
        <v>259</v>
      </c>
    </row>
    <row r="128" spans="1:20" s="267" customFormat="1" ht="13">
      <c r="A128" s="420" t="s">
        <v>210</v>
      </c>
      <c r="B128" s="713">
        <v>0</v>
      </c>
      <c r="C128" s="732">
        <v>0</v>
      </c>
      <c r="D128" s="732">
        <v>0</v>
      </c>
      <c r="E128" s="271">
        <v>0</v>
      </c>
      <c r="F128" s="271">
        <v>0</v>
      </c>
      <c r="G128" s="271">
        <v>0</v>
      </c>
      <c r="H128" s="271">
        <v>0</v>
      </c>
      <c r="I128" s="271">
        <v>0</v>
      </c>
      <c r="J128" s="271">
        <f>'Payroll Worksheet'!AH23</f>
        <v>0</v>
      </c>
      <c r="K128" s="271">
        <f>'Payroll Worksheet'!AI23</f>
        <v>0</v>
      </c>
      <c r="L128" s="271">
        <f>'Payroll Worksheet'!AJ23</f>
        <v>0</v>
      </c>
      <c r="M128" s="654">
        <f>'Payroll Worksheet'!AK23</f>
        <v>0</v>
      </c>
      <c r="N128" s="467">
        <f t="shared" si="27"/>
        <v>0</v>
      </c>
      <c r="O128" s="406">
        <v>0</v>
      </c>
      <c r="P128" s="271">
        <v>891.46</v>
      </c>
      <c r="Q128" s="274">
        <f>N128-P128</f>
        <v>-891.46</v>
      </c>
      <c r="R128" s="406">
        <v>0</v>
      </c>
      <c r="S128" s="398">
        <f t="shared" si="15"/>
        <v>0</v>
      </c>
      <c r="T128" s="500"/>
    </row>
    <row r="129" spans="1:41" s="267" customFormat="1" ht="13">
      <c r="A129" s="420" t="s">
        <v>211</v>
      </c>
      <c r="B129" s="713">
        <v>0</v>
      </c>
      <c r="C129" s="732">
        <v>0</v>
      </c>
      <c r="D129" s="732">
        <v>0</v>
      </c>
      <c r="E129" s="271">
        <v>0</v>
      </c>
      <c r="F129" s="271">
        <v>0</v>
      </c>
      <c r="G129" s="271">
        <v>0</v>
      </c>
      <c r="H129" s="271">
        <v>0</v>
      </c>
      <c r="I129" s="271">
        <v>0</v>
      </c>
      <c r="J129" s="271">
        <f>'Payroll Worksheet'!AH21</f>
        <v>0</v>
      </c>
      <c r="K129" s="271">
        <f>'Payroll Worksheet'!AI21</f>
        <v>0</v>
      </c>
      <c r="L129" s="271">
        <f>'Payroll Worksheet'!AJ21</f>
        <v>0</v>
      </c>
      <c r="M129" s="654">
        <f>'Payroll Worksheet'!AK21</f>
        <v>0</v>
      </c>
      <c r="N129" s="467">
        <f t="shared" si="27"/>
        <v>0</v>
      </c>
      <c r="O129" s="406">
        <v>0</v>
      </c>
      <c r="P129" s="271">
        <v>11652.939999999999</v>
      </c>
      <c r="Q129" s="274">
        <f>N129-P129</f>
        <v>-11652.939999999999</v>
      </c>
      <c r="R129" s="406">
        <v>0</v>
      </c>
      <c r="S129" s="398">
        <f t="shared" si="15"/>
        <v>0</v>
      </c>
      <c r="T129" s="500"/>
    </row>
    <row r="130" spans="1:41" s="267" customFormat="1" ht="13">
      <c r="A130" s="420" t="s">
        <v>213</v>
      </c>
      <c r="B130" s="713"/>
      <c r="C130" s="732"/>
      <c r="D130" s="732"/>
      <c r="E130" s="271"/>
      <c r="F130" s="271"/>
      <c r="G130" s="271"/>
      <c r="H130" s="271"/>
      <c r="I130" s="271"/>
      <c r="J130" s="271"/>
      <c r="K130" s="271"/>
      <c r="L130" s="271"/>
      <c r="M130" s="654"/>
      <c r="N130" s="467"/>
      <c r="O130" s="406"/>
      <c r="P130" s="271"/>
      <c r="Q130" s="274"/>
      <c r="R130" s="406"/>
      <c r="S130" s="398">
        <f t="shared" si="15"/>
        <v>0</v>
      </c>
      <c r="T130" s="500"/>
    </row>
    <row r="131" spans="1:41" s="267" customFormat="1" ht="13">
      <c r="A131" s="419" t="s">
        <v>214</v>
      </c>
      <c r="B131" s="724">
        <f t="shared" ref="B131:M131" si="28">SUM(B117:B130)</f>
        <v>39832</v>
      </c>
      <c r="C131" s="724">
        <f t="shared" si="28"/>
        <v>26883.5</v>
      </c>
      <c r="D131" s="724">
        <f t="shared" si="28"/>
        <v>25384</v>
      </c>
      <c r="E131" s="469">
        <f t="shared" si="28"/>
        <v>27200</v>
      </c>
      <c r="F131" s="469">
        <f t="shared" si="28"/>
        <v>27200</v>
      </c>
      <c r="G131" s="469">
        <f t="shared" si="28"/>
        <v>27200</v>
      </c>
      <c r="H131" s="469">
        <f t="shared" si="28"/>
        <v>23200</v>
      </c>
      <c r="I131" s="469">
        <f t="shared" si="28"/>
        <v>23200</v>
      </c>
      <c r="J131" s="469">
        <f t="shared" si="28"/>
        <v>23200</v>
      </c>
      <c r="K131" s="469">
        <f t="shared" si="28"/>
        <v>23200</v>
      </c>
      <c r="L131" s="469">
        <f t="shared" si="28"/>
        <v>23200</v>
      </c>
      <c r="M131" s="660">
        <f t="shared" si="28"/>
        <v>23200</v>
      </c>
      <c r="N131" s="467">
        <f>SUM(B131:M131)</f>
        <v>312899.5</v>
      </c>
      <c r="O131" s="406">
        <f>SUM(O117:O130)</f>
        <v>341900</v>
      </c>
      <c r="P131" s="276">
        <v>435205.91333333345</v>
      </c>
      <c r="Q131" s="276">
        <f>N131-P131</f>
        <v>-122306.41333333345</v>
      </c>
      <c r="R131" s="401">
        <f>SUM(R117:R130)</f>
        <v>656400</v>
      </c>
      <c r="S131" s="398">
        <f t="shared" si="15"/>
        <v>-314500</v>
      </c>
      <c r="T131" s="507"/>
    </row>
    <row r="132" spans="1:41" s="267" customFormat="1" ht="6" customHeight="1" thickBot="1">
      <c r="A132" s="419"/>
      <c r="B132" s="715"/>
      <c r="C132" s="715"/>
      <c r="D132" s="715"/>
      <c r="E132" s="272"/>
      <c r="F132" s="272"/>
      <c r="G132" s="272"/>
      <c r="H132" s="272"/>
      <c r="I132" s="272"/>
      <c r="J132" s="272"/>
      <c r="K132" s="272"/>
      <c r="L132" s="272"/>
      <c r="M132" s="656"/>
      <c r="N132" s="468"/>
      <c r="O132" s="397"/>
      <c r="P132" s="133"/>
      <c r="Q132" s="133"/>
      <c r="R132" s="397"/>
      <c r="S132" s="398">
        <f t="shared" si="15"/>
        <v>0</v>
      </c>
      <c r="T132" s="500"/>
    </row>
    <row r="133" spans="1:41" s="458" customFormat="1" ht="14" thickTop="1">
      <c r="A133" s="445" t="s">
        <v>107</v>
      </c>
      <c r="B133" s="725">
        <f t="shared" ref="B133:M133" si="29">B60+B76+B86+B108+B114+B131</f>
        <v>55478.240000000005</v>
      </c>
      <c r="C133" s="720">
        <f t="shared" si="29"/>
        <v>57507.97</v>
      </c>
      <c r="D133" s="720">
        <f t="shared" si="29"/>
        <v>45610.93</v>
      </c>
      <c r="E133" s="446">
        <f t="shared" si="29"/>
        <v>51460</v>
      </c>
      <c r="F133" s="446">
        <f t="shared" si="29"/>
        <v>49210</v>
      </c>
      <c r="G133" s="446">
        <f t="shared" si="29"/>
        <v>47110</v>
      </c>
      <c r="H133" s="446">
        <f t="shared" si="29"/>
        <v>76260</v>
      </c>
      <c r="I133" s="446">
        <f t="shared" si="29"/>
        <v>50160</v>
      </c>
      <c r="J133" s="446">
        <f t="shared" si="29"/>
        <v>86110</v>
      </c>
      <c r="K133" s="446">
        <f t="shared" si="29"/>
        <v>66660</v>
      </c>
      <c r="L133" s="446">
        <f t="shared" si="29"/>
        <v>36860</v>
      </c>
      <c r="M133" s="659">
        <f t="shared" si="29"/>
        <v>35110</v>
      </c>
      <c r="N133" s="647">
        <f>SUM(B133:M133)</f>
        <v>657537.14</v>
      </c>
      <c r="O133" s="455">
        <f>O60+O76+O86+O108+O114+O131</f>
        <v>760400</v>
      </c>
      <c r="P133" s="453">
        <v>791196.94333333336</v>
      </c>
      <c r="Q133" s="456">
        <f>N133-P133</f>
        <v>-133659.80333333334</v>
      </c>
      <c r="R133" s="455">
        <f>R60+R76+R86+R108+R114+R131</f>
        <v>1399300</v>
      </c>
      <c r="S133" s="398">
        <f t="shared" si="15"/>
        <v>-638900</v>
      </c>
      <c r="T133" s="508"/>
    </row>
    <row r="134" spans="1:41" s="368" customFormat="1" ht="13" thickBot="1">
      <c r="A134" s="419"/>
      <c r="B134" s="726"/>
      <c r="C134" s="726"/>
      <c r="D134" s="726"/>
      <c r="E134" s="277"/>
      <c r="F134" s="277"/>
      <c r="G134" s="277"/>
      <c r="H134" s="277"/>
      <c r="I134" s="277"/>
      <c r="J134" s="277"/>
      <c r="K134" s="277"/>
      <c r="L134" s="277"/>
      <c r="M134" s="662"/>
      <c r="N134" s="468"/>
      <c r="O134" s="397"/>
      <c r="P134" s="285"/>
      <c r="Q134" s="285"/>
      <c r="R134" s="397"/>
      <c r="S134" s="398">
        <f t="shared" ref="S134:S135" si="30">O134-R134</f>
        <v>0</v>
      </c>
      <c r="T134" s="502"/>
    </row>
    <row r="135" spans="1:41" s="466" customFormat="1" ht="14" thickBot="1">
      <c r="A135" s="459" t="s">
        <v>108</v>
      </c>
      <c r="B135" s="727">
        <f t="shared" ref="B135:O135" si="31">B48-B133</f>
        <v>6240.3799999999901</v>
      </c>
      <c r="C135" s="727">
        <f t="shared" si="31"/>
        <v>-37661.25</v>
      </c>
      <c r="D135" s="727">
        <f t="shared" si="31"/>
        <v>-21713.47</v>
      </c>
      <c r="E135" s="460" t="e">
        <f t="shared" si="31"/>
        <v>#REF!</v>
      </c>
      <c r="F135" s="460" t="e">
        <f t="shared" si="31"/>
        <v>#REF!</v>
      </c>
      <c r="G135" s="460" t="e">
        <f t="shared" si="31"/>
        <v>#REF!</v>
      </c>
      <c r="H135" s="460" t="e">
        <f t="shared" si="31"/>
        <v>#REF!</v>
      </c>
      <c r="I135" s="460" t="e">
        <f t="shared" si="31"/>
        <v>#REF!</v>
      </c>
      <c r="J135" s="460" t="e">
        <f t="shared" si="31"/>
        <v>#REF!</v>
      </c>
      <c r="K135" s="460" t="e">
        <f t="shared" si="31"/>
        <v>#REF!</v>
      </c>
      <c r="L135" s="460" t="e">
        <f t="shared" si="31"/>
        <v>#REF!</v>
      </c>
      <c r="M135" s="663" t="e">
        <f t="shared" si="31"/>
        <v>#REF!</v>
      </c>
      <c r="N135" s="648" t="e">
        <f t="shared" si="31"/>
        <v>#REF!</v>
      </c>
      <c r="O135" s="463">
        <f t="shared" si="31"/>
        <v>-124800</v>
      </c>
      <c r="P135" s="460">
        <v>388579.43666666653</v>
      </c>
      <c r="Q135" s="464"/>
      <c r="R135" s="463">
        <f>R48-R133</f>
        <v>1072800</v>
      </c>
      <c r="S135" s="398">
        <f t="shared" si="30"/>
        <v>-1197600</v>
      </c>
      <c r="T135" s="509"/>
    </row>
    <row r="136" spans="1:41" s="267" customFormat="1" ht="12">
      <c r="A136" s="420"/>
      <c r="B136" s="712"/>
      <c r="C136" s="731"/>
      <c r="D136" s="731"/>
      <c r="E136" s="270"/>
      <c r="F136" s="270"/>
      <c r="G136" s="270"/>
      <c r="H136" s="270"/>
      <c r="I136" s="270"/>
      <c r="J136" s="270"/>
      <c r="K136" s="270"/>
      <c r="L136" s="270"/>
      <c r="M136" s="653"/>
      <c r="N136" s="468"/>
      <c r="O136" s="397"/>
      <c r="P136" s="133"/>
      <c r="Q136" s="133"/>
      <c r="R136" s="133"/>
      <c r="S136" s="394"/>
      <c r="T136" s="500"/>
    </row>
    <row r="137" spans="1:41" s="285" customFormat="1" ht="12">
      <c r="A137" s="427" t="s">
        <v>215</v>
      </c>
      <c r="B137" s="728">
        <v>172646.63</v>
      </c>
      <c r="C137" s="742">
        <f t="shared" ref="C137:M137" si="32">B139</f>
        <v>178887.01</v>
      </c>
      <c r="D137" s="751">
        <f t="shared" si="32"/>
        <v>141225.76</v>
      </c>
      <c r="E137" s="275">
        <f t="shared" si="32"/>
        <v>119512.29000000001</v>
      </c>
      <c r="F137" s="275" t="e">
        <f t="shared" si="32"/>
        <v>#REF!</v>
      </c>
      <c r="G137" s="275" t="e">
        <f t="shared" si="32"/>
        <v>#REF!</v>
      </c>
      <c r="H137" s="275" t="e">
        <f t="shared" si="32"/>
        <v>#REF!</v>
      </c>
      <c r="I137" s="275" t="e">
        <f t="shared" si="32"/>
        <v>#REF!</v>
      </c>
      <c r="J137" s="275" t="e">
        <f t="shared" si="32"/>
        <v>#REF!</v>
      </c>
      <c r="K137" s="275" t="e">
        <f t="shared" si="32"/>
        <v>#REF!</v>
      </c>
      <c r="L137" s="275" t="e">
        <f t="shared" si="32"/>
        <v>#REF!</v>
      </c>
      <c r="M137" s="664" t="e">
        <f t="shared" si="32"/>
        <v>#REF!</v>
      </c>
      <c r="N137" s="468"/>
      <c r="O137" s="397"/>
      <c r="P137" s="275" t="e">
        <f>P124+#REF!+P70</f>
        <v>#REF!</v>
      </c>
      <c r="Q137" s="275"/>
      <c r="R137" s="275"/>
      <c r="S137" s="394"/>
      <c r="T137" s="510"/>
    </row>
    <row r="138" spans="1:41" s="267" customFormat="1" ht="12">
      <c r="A138" s="421"/>
      <c r="B138" s="722"/>
      <c r="C138" s="733"/>
      <c r="D138" s="751"/>
      <c r="E138" s="273"/>
      <c r="F138" s="273"/>
      <c r="G138" s="273"/>
      <c r="H138" s="273"/>
      <c r="I138" s="273"/>
      <c r="J138" s="273"/>
      <c r="K138" s="273"/>
      <c r="L138" s="273"/>
      <c r="M138" s="657"/>
      <c r="N138" s="468"/>
      <c r="O138" s="397"/>
      <c r="P138" s="133"/>
      <c r="Q138" s="133"/>
      <c r="R138" s="133"/>
      <c r="S138" s="394"/>
      <c r="T138" s="500"/>
    </row>
    <row r="139" spans="1:41" s="376" customFormat="1" ht="12">
      <c r="A139" s="428" t="s">
        <v>216</v>
      </c>
      <c r="B139" s="728">
        <f>B135+B137</f>
        <v>178887.01</v>
      </c>
      <c r="C139" s="742">
        <f t="shared" ref="C139:M139" si="33">C135+C137</f>
        <v>141225.76</v>
      </c>
      <c r="D139" s="751">
        <f t="shared" si="33"/>
        <v>119512.29000000001</v>
      </c>
      <c r="E139" s="374" t="e">
        <f t="shared" si="33"/>
        <v>#REF!</v>
      </c>
      <c r="F139" s="374" t="e">
        <f t="shared" si="33"/>
        <v>#REF!</v>
      </c>
      <c r="G139" s="374" t="e">
        <f t="shared" si="33"/>
        <v>#REF!</v>
      </c>
      <c r="H139" s="374" t="e">
        <f t="shared" si="33"/>
        <v>#REF!</v>
      </c>
      <c r="I139" s="374" t="e">
        <f t="shared" si="33"/>
        <v>#REF!</v>
      </c>
      <c r="J139" s="374" t="e">
        <f t="shared" si="33"/>
        <v>#REF!</v>
      </c>
      <c r="K139" s="374" t="e">
        <f t="shared" si="33"/>
        <v>#REF!</v>
      </c>
      <c r="L139" s="374" t="e">
        <f t="shared" si="33"/>
        <v>#REF!</v>
      </c>
      <c r="M139" s="665" t="e">
        <f t="shared" si="33"/>
        <v>#REF!</v>
      </c>
      <c r="N139" s="468"/>
      <c r="O139" s="397"/>
      <c r="P139" s="373"/>
      <c r="Q139" s="373"/>
      <c r="R139" s="373"/>
      <c r="S139" s="394"/>
      <c r="T139" s="502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</row>
    <row r="140" spans="1:41" s="376" customFormat="1" ht="12">
      <c r="A140" s="427"/>
      <c r="B140" s="728"/>
      <c r="C140" s="742"/>
      <c r="D140" s="751"/>
      <c r="E140" s="275"/>
      <c r="F140" s="275"/>
      <c r="G140" s="275"/>
      <c r="H140" s="275"/>
      <c r="I140" s="275"/>
      <c r="J140" s="275"/>
      <c r="K140" s="275"/>
      <c r="L140" s="275"/>
      <c r="M140" s="664"/>
      <c r="N140" s="468"/>
      <c r="O140" s="397"/>
      <c r="P140" s="373"/>
      <c r="Q140" s="373"/>
      <c r="R140" s="373"/>
      <c r="S140" s="394"/>
      <c r="T140" s="502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</row>
    <row r="141" spans="1:41" s="267" customFormat="1" ht="26">
      <c r="A141" s="419" t="s">
        <v>217</v>
      </c>
      <c r="B141" s="729">
        <v>135576</v>
      </c>
      <c r="C141" s="743">
        <v>114996</v>
      </c>
      <c r="D141" s="751">
        <v>96766</v>
      </c>
      <c r="E141" s="269">
        <v>66136</v>
      </c>
      <c r="F141" s="269">
        <v>44906</v>
      </c>
      <c r="G141" s="269">
        <v>45996</v>
      </c>
      <c r="H141" s="269">
        <v>16710</v>
      </c>
      <c r="I141" s="269">
        <v>34713</v>
      </c>
      <c r="J141" s="269">
        <v>5992</v>
      </c>
      <c r="K141" s="269">
        <v>58073</v>
      </c>
      <c r="L141" s="269">
        <v>67637</v>
      </c>
      <c r="M141" s="666">
        <v>104489</v>
      </c>
      <c r="N141" s="649"/>
      <c r="O141" s="411"/>
      <c r="P141" s="133"/>
      <c r="Q141" s="133"/>
      <c r="R141" s="133"/>
      <c r="S141" s="394"/>
      <c r="T141" s="500"/>
    </row>
    <row r="142" spans="1:41">
      <c r="A142" s="417"/>
      <c r="B142" s="291"/>
      <c r="C142" s="291"/>
      <c r="D142" s="751"/>
      <c r="E142" s="301"/>
      <c r="F142" s="301"/>
      <c r="G142" s="301"/>
      <c r="H142" s="301"/>
      <c r="I142" s="301"/>
      <c r="J142" s="301"/>
      <c r="K142" s="301"/>
      <c r="L142" s="301"/>
      <c r="M142" s="667"/>
      <c r="N142" s="412"/>
      <c r="T142" s="501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</row>
    <row r="143" spans="1:41" ht="27">
      <c r="A143" s="419" t="s">
        <v>261</v>
      </c>
      <c r="B143" s="685"/>
      <c r="C143" s="685"/>
      <c r="D143" s="294"/>
      <c r="E143" s="294"/>
      <c r="F143" s="294"/>
      <c r="G143" s="294"/>
      <c r="H143" s="294"/>
      <c r="I143" s="294"/>
      <c r="J143" s="294"/>
      <c r="K143" s="294"/>
      <c r="L143" s="294"/>
      <c r="M143" s="650"/>
      <c r="N143" s="686"/>
      <c r="T143" s="501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</row>
    <row r="144" spans="1:41">
      <c r="A144" s="687">
        <v>100000</v>
      </c>
      <c r="B144" s="133"/>
      <c r="C144" s="133"/>
      <c r="D144" s="688"/>
      <c r="E144" s="688" t="e">
        <f>IF(E139,(100000-E139)/95)</f>
        <v>#REF!</v>
      </c>
      <c r="F144" s="688" t="e">
        <f>-F135/95</f>
        <v>#REF!</v>
      </c>
      <c r="G144" s="688"/>
      <c r="H144" s="688" t="e">
        <f t="shared" ref="H144:J144" si="34">-H135/95</f>
        <v>#REF!</v>
      </c>
      <c r="I144" s="688"/>
      <c r="J144" s="688" t="e">
        <f t="shared" si="34"/>
        <v>#REF!</v>
      </c>
      <c r="K144" s="688"/>
      <c r="L144" s="688"/>
      <c r="M144" s="650"/>
      <c r="N144" s="686" t="e">
        <f t="shared" ref="N144:N145" si="35">SUM(B144:M144)</f>
        <v>#REF!</v>
      </c>
      <c r="T144" s="501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</row>
    <row r="145" spans="1:41">
      <c r="A145" s="687">
        <v>200000</v>
      </c>
      <c r="B145" s="688">
        <f>(200000-B137-B135)/95</f>
        <v>222.24200000000005</v>
      </c>
      <c r="C145" s="688">
        <f>-C135/95</f>
        <v>396.43421052631578</v>
      </c>
      <c r="D145" s="688">
        <f t="shared" ref="D145:J145" si="36">-D135/95</f>
        <v>228.56284210526317</v>
      </c>
      <c r="E145" s="688" t="e">
        <f t="shared" si="36"/>
        <v>#REF!</v>
      </c>
      <c r="F145" s="688" t="e">
        <f t="shared" si="36"/>
        <v>#REF!</v>
      </c>
      <c r="G145" s="688"/>
      <c r="H145" s="688" t="e">
        <f t="shared" si="36"/>
        <v>#REF!</v>
      </c>
      <c r="I145" s="688"/>
      <c r="J145" s="688" t="e">
        <f t="shared" si="36"/>
        <v>#REF!</v>
      </c>
      <c r="K145" s="688"/>
      <c r="L145" s="688"/>
      <c r="M145" s="689"/>
      <c r="N145" s="686" t="e">
        <f t="shared" si="35"/>
        <v>#REF!</v>
      </c>
      <c r="T145" s="501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821C-1BCE-BA42-83E4-411F3325C0EA}">
  <dimension ref="A1:Q91"/>
  <sheetViews>
    <sheetView tabSelected="1" zoomScale="142" zoomScaleNormal="142" zoomScalePageLayoutView="150" workbookViewId="0">
      <pane xSplit="1" ySplit="3" topLeftCell="B64" activePane="bottomRight" state="frozen"/>
      <selection pane="topRight" activeCell="AW1" sqref="AW1"/>
      <selection pane="bottomLeft" activeCell="A4" sqref="A4"/>
      <selection pane="bottomRight" activeCell="E76" sqref="E76"/>
    </sheetView>
  </sheetViews>
  <sheetFormatPr baseColWidth="10" defaultColWidth="8.83203125" defaultRowHeight="15"/>
  <cols>
    <col min="1" max="1" width="33.6640625" style="768" bestFit="1" customWidth="1"/>
    <col min="2" max="2" width="10.1640625" style="541" bestFit="1" customWidth="1"/>
    <col min="3" max="12" width="10.1640625" style="541" customWidth="1"/>
    <col min="13" max="13" width="10.1640625" style="541" bestFit="1" customWidth="1"/>
    <col min="14" max="14" width="13.83203125" style="769" bestFit="1" customWidth="1"/>
    <col min="15" max="15" width="13.83203125" style="790" bestFit="1" customWidth="1"/>
    <col min="16" max="16" width="15.1640625" style="770" customWidth="1"/>
    <col min="17" max="17" width="20.6640625" style="771" customWidth="1"/>
    <col min="18" max="16384" width="8.83203125" style="541"/>
  </cols>
  <sheetData>
    <row r="1" spans="1:17" s="121" customFormat="1" ht="26">
      <c r="A1" s="417"/>
      <c r="B1" s="820"/>
      <c r="C1" s="294"/>
      <c r="D1" s="294"/>
      <c r="E1" s="294"/>
      <c r="F1" s="294"/>
      <c r="G1" s="366" t="s">
        <v>3</v>
      </c>
      <c r="H1" s="294"/>
      <c r="I1" s="294"/>
      <c r="J1" s="294"/>
      <c r="K1" s="377"/>
      <c r="L1" s="294"/>
      <c r="M1" s="650"/>
      <c r="N1" s="392"/>
      <c r="O1" s="778"/>
      <c r="P1" s="394"/>
      <c r="Q1" s="501"/>
    </row>
    <row r="2" spans="1:17" s="121" customFormat="1" ht="23" customHeight="1">
      <c r="A2" s="418"/>
      <c r="B2" s="82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N2" s="392"/>
      <c r="O2" s="778"/>
      <c r="P2" s="394"/>
      <c r="Q2" s="501"/>
    </row>
    <row r="3" spans="1:17" s="638" customFormat="1" ht="17" thickBot="1">
      <c r="A3" s="434"/>
      <c r="B3" s="822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791" t="s">
        <v>3</v>
      </c>
      <c r="O3" s="779" t="s">
        <v>703</v>
      </c>
      <c r="P3" s="433" t="s">
        <v>724</v>
      </c>
      <c r="Q3" s="490" t="s">
        <v>714</v>
      </c>
    </row>
    <row r="4" spans="1:17" s="267" customFormat="1" ht="13">
      <c r="A4" s="419" t="s">
        <v>9</v>
      </c>
      <c r="B4" s="712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780"/>
      <c r="P4" s="398"/>
      <c r="Q4" s="500"/>
    </row>
    <row r="5" spans="1:17" s="267" customFormat="1" ht="13">
      <c r="A5" s="419" t="s">
        <v>10</v>
      </c>
      <c r="B5" s="713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780"/>
      <c r="P5" s="398"/>
      <c r="Q5" s="500"/>
    </row>
    <row r="6" spans="1:17" s="267" customFormat="1" ht="13">
      <c r="A6" s="420" t="s">
        <v>11</v>
      </c>
      <c r="B6" s="713"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0" si="0">SUM(B6:M6)</f>
        <v>0</v>
      </c>
      <c r="O6" s="780">
        <v>0</v>
      </c>
      <c r="P6" s="398">
        <f>N6-O6</f>
        <v>0</v>
      </c>
      <c r="Q6" s="500"/>
    </row>
    <row r="7" spans="1:17" s="267" customFormat="1" ht="13">
      <c r="A7" s="420" t="s">
        <v>13</v>
      </c>
      <c r="B7" s="713">
        <v>10000</v>
      </c>
      <c r="C7" s="271">
        <v>0</v>
      </c>
      <c r="D7" s="271">
        <v>55000</v>
      </c>
      <c r="E7" s="271">
        <v>10000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654">
        <v>0</v>
      </c>
      <c r="N7" s="468">
        <f t="shared" si="0"/>
        <v>75000</v>
      </c>
      <c r="O7" s="780">
        <v>30000</v>
      </c>
      <c r="P7" s="398">
        <f t="shared" ref="P7:P8" si="1">N7-O7</f>
        <v>45000</v>
      </c>
      <c r="Q7" s="500"/>
    </row>
    <row r="8" spans="1:17" s="267" customFormat="1" ht="12">
      <c r="A8" s="421" t="s">
        <v>701</v>
      </c>
      <c r="B8" s="713">
        <v>25000</v>
      </c>
      <c r="C8" s="271">
        <v>1250</v>
      </c>
      <c r="D8" s="271">
        <v>1250</v>
      </c>
      <c r="E8" s="271">
        <v>1250</v>
      </c>
      <c r="F8" s="271">
        <v>1250</v>
      </c>
      <c r="G8" s="271">
        <v>7500</v>
      </c>
      <c r="H8" s="271">
        <v>1250</v>
      </c>
      <c r="I8" s="271">
        <v>1250</v>
      </c>
      <c r="J8" s="271">
        <f>1250+10000</f>
        <v>11250</v>
      </c>
      <c r="K8" s="271">
        <v>1250</v>
      </c>
      <c r="L8" s="271">
        <v>1250</v>
      </c>
      <c r="M8" s="654">
        <v>3750</v>
      </c>
      <c r="N8" s="468">
        <f t="shared" si="0"/>
        <v>57500</v>
      </c>
      <c r="O8" s="781">
        <v>47500</v>
      </c>
      <c r="P8" s="398">
        <f t="shared" si="1"/>
        <v>10000</v>
      </c>
      <c r="Q8" s="500"/>
    </row>
    <row r="9" spans="1:17" s="267" customFormat="1" ht="15" customHeight="1">
      <c r="A9" s="420" t="s">
        <v>702</v>
      </c>
      <c r="B9" s="713">
        <v>7898</v>
      </c>
      <c r="C9" s="271">
        <v>10000</v>
      </c>
      <c r="D9" s="271">
        <v>10000</v>
      </c>
      <c r="E9" s="271">
        <v>10000</v>
      </c>
      <c r="F9" s="271">
        <v>10000</v>
      </c>
      <c r="G9" s="271">
        <v>10000</v>
      </c>
      <c r="H9" s="271">
        <v>10000</v>
      </c>
      <c r="I9" s="271">
        <v>10000</v>
      </c>
      <c r="J9" s="271">
        <v>10000</v>
      </c>
      <c r="K9" s="271">
        <v>10000</v>
      </c>
      <c r="L9" s="746">
        <v>50000</v>
      </c>
      <c r="M9" s="654">
        <v>50000</v>
      </c>
      <c r="N9" s="468">
        <f t="shared" si="0"/>
        <v>197898</v>
      </c>
      <c r="O9" s="780">
        <v>200000</v>
      </c>
      <c r="P9" s="757">
        <f>N9-O9</f>
        <v>-2102</v>
      </c>
      <c r="Q9" s="500"/>
    </row>
    <row r="10" spans="1:17" s="267" customFormat="1" ht="13">
      <c r="A10" s="437" t="s">
        <v>19</v>
      </c>
      <c r="B10" s="714">
        <f t="shared" ref="B10:M10" si="2">SUM(B6:B9)</f>
        <v>42898</v>
      </c>
      <c r="C10" s="276">
        <f t="shared" si="2"/>
        <v>11250</v>
      </c>
      <c r="D10" s="276">
        <f t="shared" si="2"/>
        <v>66250</v>
      </c>
      <c r="E10" s="276">
        <f t="shared" si="2"/>
        <v>21250</v>
      </c>
      <c r="F10" s="276">
        <f t="shared" si="2"/>
        <v>11250</v>
      </c>
      <c r="G10" s="276">
        <f t="shared" si="2"/>
        <v>17500</v>
      </c>
      <c r="H10" s="276">
        <f t="shared" si="2"/>
        <v>11250</v>
      </c>
      <c r="I10" s="276">
        <f t="shared" si="2"/>
        <v>11250</v>
      </c>
      <c r="J10" s="276">
        <f t="shared" si="2"/>
        <v>21250</v>
      </c>
      <c r="K10" s="276">
        <f t="shared" si="2"/>
        <v>11250</v>
      </c>
      <c r="L10" s="276">
        <f t="shared" si="2"/>
        <v>51250</v>
      </c>
      <c r="M10" s="655">
        <f t="shared" si="2"/>
        <v>53750</v>
      </c>
      <c r="N10" s="641">
        <f t="shared" si="0"/>
        <v>330398</v>
      </c>
      <c r="O10" s="782">
        <f>SUM(O6:O9)</f>
        <v>277500</v>
      </c>
      <c r="P10" s="398">
        <f>SUM(P6:P9)</f>
        <v>52898</v>
      </c>
      <c r="Q10" s="500"/>
    </row>
    <row r="11" spans="1:17" s="267" customFormat="1" ht="6" customHeight="1">
      <c r="A11" s="420"/>
      <c r="B11" s="715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656"/>
      <c r="N11" s="468"/>
      <c r="O11" s="780"/>
      <c r="P11" s="398"/>
      <c r="Q11" s="500"/>
    </row>
    <row r="12" spans="1:17" s="267" customFormat="1" ht="13">
      <c r="A12" s="419" t="s">
        <v>704</v>
      </c>
      <c r="B12" s="713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654"/>
      <c r="N12" s="468"/>
      <c r="O12" s="780"/>
      <c r="P12" s="398"/>
      <c r="Q12" s="500"/>
    </row>
    <row r="13" spans="1:17" s="267" customFormat="1" ht="13">
      <c r="A13" s="420" t="s">
        <v>21</v>
      </c>
      <c r="B13" s="713">
        <v>0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746">
        <v>17000</v>
      </c>
      <c r="K13" s="746">
        <v>17000</v>
      </c>
      <c r="L13" s="271">
        <v>0</v>
      </c>
      <c r="M13" s="654">
        <f>0</f>
        <v>0</v>
      </c>
      <c r="N13" s="468">
        <f>SUM(B13:M13)</f>
        <v>34000</v>
      </c>
      <c r="O13" s="780">
        <v>34000</v>
      </c>
      <c r="P13" s="398">
        <f>N13-O13</f>
        <v>0</v>
      </c>
      <c r="Q13" s="500"/>
    </row>
    <row r="14" spans="1:17" s="267" customFormat="1" ht="13">
      <c r="A14" s="420" t="s">
        <v>705</v>
      </c>
      <c r="B14" s="713">
        <v>500</v>
      </c>
      <c r="C14" s="271">
        <v>50</v>
      </c>
      <c r="D14" s="271">
        <v>50</v>
      </c>
      <c r="E14" s="271">
        <v>50</v>
      </c>
      <c r="F14" s="271">
        <v>50</v>
      </c>
      <c r="G14" s="271">
        <v>50</v>
      </c>
      <c r="H14" s="271">
        <v>50</v>
      </c>
      <c r="I14" s="271">
        <v>50</v>
      </c>
      <c r="J14" s="271">
        <v>50</v>
      </c>
      <c r="K14" s="271">
        <v>50</v>
      </c>
      <c r="L14" s="271">
        <v>50</v>
      </c>
      <c r="M14" s="654">
        <v>50</v>
      </c>
      <c r="N14" s="468">
        <f t="shared" ref="N14:N15" si="3">SUM(B14:M14)</f>
        <v>1050</v>
      </c>
      <c r="O14" s="780">
        <v>600</v>
      </c>
      <c r="P14" s="398">
        <f t="shared" ref="P14:P17" si="4">N14-O14</f>
        <v>450</v>
      </c>
      <c r="Q14" s="500"/>
    </row>
    <row r="15" spans="1:17" s="267" customFormat="1" ht="13">
      <c r="A15" s="420" t="s">
        <v>706</v>
      </c>
      <c r="B15" s="713">
        <v>4800</v>
      </c>
      <c r="C15" s="271">
        <v>2500</v>
      </c>
      <c r="D15" s="271">
        <v>0</v>
      </c>
      <c r="E15" s="271">
        <v>2500</v>
      </c>
      <c r="F15" s="271">
        <v>2500</v>
      </c>
      <c r="G15" s="271">
        <v>2500</v>
      </c>
      <c r="H15" s="271">
        <v>2500</v>
      </c>
      <c r="I15" s="271">
        <v>2500</v>
      </c>
      <c r="J15" s="271">
        <v>2500</v>
      </c>
      <c r="K15" s="271">
        <v>2500</v>
      </c>
      <c r="L15" s="271">
        <v>2500</v>
      </c>
      <c r="M15" s="654">
        <v>2500</v>
      </c>
      <c r="N15" s="468">
        <f t="shared" si="3"/>
        <v>29800</v>
      </c>
      <c r="O15" s="780">
        <v>30000</v>
      </c>
      <c r="P15" s="398">
        <f t="shared" si="4"/>
        <v>-200</v>
      </c>
      <c r="Q15" s="500"/>
    </row>
    <row r="16" spans="1:17" s="267" customFormat="1" ht="13">
      <c r="A16" s="419" t="s">
        <v>707</v>
      </c>
      <c r="B16" s="713">
        <v>0</v>
      </c>
      <c r="C16" s="271">
        <v>5000</v>
      </c>
      <c r="D16" s="271">
        <v>0</v>
      </c>
      <c r="E16" s="271">
        <v>5000</v>
      </c>
      <c r="F16" s="271">
        <v>0</v>
      </c>
      <c r="G16" s="271">
        <v>5000</v>
      </c>
      <c r="H16" s="271">
        <v>0</v>
      </c>
      <c r="I16" s="271">
        <v>0</v>
      </c>
      <c r="J16" s="271">
        <v>10000</v>
      </c>
      <c r="K16" s="271">
        <f>0</f>
        <v>0</v>
      </c>
      <c r="L16" s="271">
        <f>0</f>
        <v>0</v>
      </c>
      <c r="M16" s="654">
        <f>0</f>
        <v>0</v>
      </c>
      <c r="N16" s="468">
        <f>SUM(B16:M16)</f>
        <v>25000</v>
      </c>
      <c r="O16" s="780">
        <v>25000</v>
      </c>
      <c r="P16" s="398">
        <f t="shared" si="4"/>
        <v>0</v>
      </c>
      <c r="Q16" s="500"/>
    </row>
    <row r="17" spans="1:17" s="267" customFormat="1" ht="13">
      <c r="A17" s="420" t="s">
        <v>708</v>
      </c>
      <c r="B17" s="713">
        <v>0</v>
      </c>
      <c r="C17" s="271">
        <f>0</f>
        <v>0</v>
      </c>
      <c r="D17" s="271">
        <f>0</f>
        <v>0</v>
      </c>
      <c r="E17" s="271">
        <f>0</f>
        <v>0</v>
      </c>
      <c r="F17" s="271">
        <v>0</v>
      </c>
      <c r="G17" s="278">
        <f>0</f>
        <v>0</v>
      </c>
      <c r="H17" s="271">
        <v>0</v>
      </c>
      <c r="I17" s="271">
        <v>0</v>
      </c>
      <c r="J17" s="271">
        <v>20000</v>
      </c>
      <c r="K17" s="271">
        <f>0</f>
        <v>0</v>
      </c>
      <c r="L17" s="271">
        <f>0</f>
        <v>0</v>
      </c>
      <c r="M17" s="654">
        <f>0</f>
        <v>0</v>
      </c>
      <c r="N17" s="468">
        <f>SUM(B17:M17)</f>
        <v>20000</v>
      </c>
      <c r="O17" s="780">
        <v>20000</v>
      </c>
      <c r="P17" s="757">
        <f t="shared" si="4"/>
        <v>0</v>
      </c>
      <c r="Q17" s="500"/>
    </row>
    <row r="18" spans="1:17" s="368" customFormat="1" ht="13">
      <c r="A18" s="419" t="s">
        <v>709</v>
      </c>
      <c r="B18" s="714">
        <f>SUM(B13:B17)</f>
        <v>5300</v>
      </c>
      <c r="C18" s="276">
        <f t="shared" ref="C18:M18" si="5">SUM(C13:C17)</f>
        <v>7550</v>
      </c>
      <c r="D18" s="276">
        <f t="shared" si="5"/>
        <v>50</v>
      </c>
      <c r="E18" s="276">
        <f t="shared" si="5"/>
        <v>7550</v>
      </c>
      <c r="F18" s="276">
        <f t="shared" si="5"/>
        <v>2550</v>
      </c>
      <c r="G18" s="276">
        <f t="shared" si="5"/>
        <v>7550</v>
      </c>
      <c r="H18" s="276">
        <f t="shared" si="5"/>
        <v>2550</v>
      </c>
      <c r="I18" s="276">
        <f t="shared" si="5"/>
        <v>2550</v>
      </c>
      <c r="J18" s="276">
        <f t="shared" si="5"/>
        <v>49550</v>
      </c>
      <c r="K18" s="276">
        <f t="shared" si="5"/>
        <v>19550</v>
      </c>
      <c r="L18" s="276">
        <f t="shared" si="5"/>
        <v>2550</v>
      </c>
      <c r="M18" s="655">
        <f t="shared" si="5"/>
        <v>2550</v>
      </c>
      <c r="N18" s="641">
        <f>SUM(B18:M18)</f>
        <v>109850</v>
      </c>
      <c r="O18" s="782">
        <f>SUM(O13:O17)</f>
        <v>109600</v>
      </c>
      <c r="P18" s="398">
        <f>SUM(P13:P17)</f>
        <v>250</v>
      </c>
      <c r="Q18" s="502"/>
    </row>
    <row r="19" spans="1:17" s="267" customFormat="1" ht="6" customHeight="1">
      <c r="A19" s="420"/>
      <c r="B19" s="715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656"/>
      <c r="N19" s="468"/>
      <c r="O19" s="780"/>
      <c r="P19" s="398"/>
      <c r="Q19" s="500"/>
    </row>
    <row r="20" spans="1:17" s="267" customFormat="1" ht="13">
      <c r="A20" s="419" t="s">
        <v>710</v>
      </c>
      <c r="B20" s="713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654"/>
      <c r="N20" s="468"/>
      <c r="O20" s="780"/>
      <c r="P20" s="398"/>
      <c r="Q20" s="500"/>
    </row>
    <row r="21" spans="1:17" s="267" customFormat="1" ht="13">
      <c r="A21" s="420" t="s">
        <v>711</v>
      </c>
      <c r="B21" s="713">
        <f>0</f>
        <v>0</v>
      </c>
      <c r="C21" s="271">
        <f>0</f>
        <v>0</v>
      </c>
      <c r="D21" s="271">
        <v>0</v>
      </c>
      <c r="E21" s="271">
        <v>0</v>
      </c>
      <c r="F21" s="271">
        <f>0</f>
        <v>0</v>
      </c>
      <c r="G21" s="271">
        <f>0</f>
        <v>0</v>
      </c>
      <c r="H21" s="271">
        <f>0</f>
        <v>0</v>
      </c>
      <c r="I21" s="271">
        <f>0</f>
        <v>0</v>
      </c>
      <c r="J21" s="271">
        <f>0</f>
        <v>0</v>
      </c>
      <c r="K21" s="271">
        <f>0</f>
        <v>0</v>
      </c>
      <c r="L21" s="271">
        <f>0</f>
        <v>0</v>
      </c>
      <c r="M21" s="654">
        <f>0</f>
        <v>0</v>
      </c>
      <c r="N21" s="468">
        <f>SUM(B21:M21)</f>
        <v>0</v>
      </c>
      <c r="O21" s="780">
        <v>0</v>
      </c>
      <c r="P21" s="398">
        <f>N21-O21</f>
        <v>0</v>
      </c>
      <c r="Q21" s="500"/>
    </row>
    <row r="22" spans="1:17" s="267" customFormat="1" ht="13">
      <c r="A22" s="420" t="s">
        <v>712</v>
      </c>
      <c r="B22" s="713">
        <v>50</v>
      </c>
      <c r="C22" s="271">
        <v>50</v>
      </c>
      <c r="D22" s="271">
        <v>50</v>
      </c>
      <c r="E22" s="271">
        <v>50</v>
      </c>
      <c r="F22" s="271">
        <v>50</v>
      </c>
      <c r="G22" s="271">
        <v>50</v>
      </c>
      <c r="H22" s="271">
        <v>50</v>
      </c>
      <c r="I22" s="271">
        <v>50</v>
      </c>
      <c r="J22" s="271">
        <v>50</v>
      </c>
      <c r="K22" s="271">
        <v>50</v>
      </c>
      <c r="L22" s="271">
        <v>50</v>
      </c>
      <c r="M22" s="654">
        <v>50</v>
      </c>
      <c r="N22" s="468">
        <f>SUM(B22:M22)</f>
        <v>600</v>
      </c>
      <c r="O22" s="780">
        <v>600</v>
      </c>
      <c r="P22" s="398">
        <f t="shared" ref="P22:P23" si="6">N22-O22</f>
        <v>0</v>
      </c>
      <c r="Q22" s="500"/>
    </row>
    <row r="23" spans="1:17" s="267" customFormat="1" ht="13">
      <c r="A23" s="420" t="s">
        <v>713</v>
      </c>
      <c r="B23" s="713">
        <v>0</v>
      </c>
      <c r="C23" s="278">
        <v>0</v>
      </c>
      <c r="D23" s="278">
        <v>0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657">
        <v>0</v>
      </c>
      <c r="N23" s="468">
        <f>SUM(B23:M23)</f>
        <v>0</v>
      </c>
      <c r="O23" s="780">
        <v>0</v>
      </c>
      <c r="P23" s="757">
        <f t="shared" si="6"/>
        <v>0</v>
      </c>
      <c r="Q23" s="500"/>
    </row>
    <row r="24" spans="1:17" s="267" customFormat="1" ht="13">
      <c r="A24" s="422" t="s">
        <v>29</v>
      </c>
      <c r="B24" s="714">
        <f>SUM(B20:B23)</f>
        <v>50</v>
      </c>
      <c r="C24" s="276">
        <f>SUM(C21:C23)</f>
        <v>50</v>
      </c>
      <c r="D24" s="276">
        <f t="shared" ref="D24" si="7">SUM(D21:D23)</f>
        <v>50</v>
      </c>
      <c r="E24" s="276">
        <f t="shared" ref="E24:M24" si="8">SUM(E21:E23)</f>
        <v>50</v>
      </c>
      <c r="F24" s="276">
        <f t="shared" si="8"/>
        <v>50</v>
      </c>
      <c r="G24" s="276">
        <f t="shared" si="8"/>
        <v>50</v>
      </c>
      <c r="H24" s="276">
        <f>SUM(H20:H23)</f>
        <v>50</v>
      </c>
      <c r="I24" s="276">
        <f t="shared" si="8"/>
        <v>50</v>
      </c>
      <c r="J24" s="276">
        <f t="shared" si="8"/>
        <v>50</v>
      </c>
      <c r="K24" s="276">
        <f t="shared" si="8"/>
        <v>50</v>
      </c>
      <c r="L24" s="276">
        <f t="shared" si="8"/>
        <v>50</v>
      </c>
      <c r="M24" s="655">
        <f t="shared" si="8"/>
        <v>50</v>
      </c>
      <c r="N24" s="641">
        <f>SUM(B24:M24)</f>
        <v>600</v>
      </c>
      <c r="O24" s="782">
        <f>SUM(O21:O23)</f>
        <v>600</v>
      </c>
      <c r="P24" s="398">
        <f>SUM(P21:P23)</f>
        <v>0</v>
      </c>
      <c r="Q24" s="500"/>
    </row>
    <row r="25" spans="1:17" s="267" customFormat="1" ht="6" customHeight="1" thickBot="1">
      <c r="A25" s="420"/>
      <c r="B25" s="715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656"/>
      <c r="N25" s="468"/>
      <c r="O25" s="780"/>
      <c r="P25" s="758"/>
      <c r="Q25" s="500"/>
    </row>
    <row r="26" spans="1:17" s="267" customFormat="1" ht="14" thickTop="1">
      <c r="A26" s="445" t="s">
        <v>45</v>
      </c>
      <c r="B26" s="720">
        <f>B24+B18+B10</f>
        <v>48248</v>
      </c>
      <c r="C26" s="752">
        <f>C24+C18+C10</f>
        <v>18850</v>
      </c>
      <c r="D26" s="752">
        <f t="shared" ref="D26:M26" si="9">D24+D18+D10</f>
        <v>66350</v>
      </c>
      <c r="E26" s="752">
        <f t="shared" si="9"/>
        <v>28850</v>
      </c>
      <c r="F26" s="752">
        <f t="shared" si="9"/>
        <v>13850</v>
      </c>
      <c r="G26" s="752">
        <f t="shared" si="9"/>
        <v>25100</v>
      </c>
      <c r="H26" s="752">
        <f t="shared" si="9"/>
        <v>13850</v>
      </c>
      <c r="I26" s="752">
        <f t="shared" si="9"/>
        <v>13850</v>
      </c>
      <c r="J26" s="752">
        <f t="shared" si="9"/>
        <v>70850</v>
      </c>
      <c r="K26" s="752">
        <f t="shared" si="9"/>
        <v>30850</v>
      </c>
      <c r="L26" s="752">
        <f t="shared" si="9"/>
        <v>53850</v>
      </c>
      <c r="M26" s="752">
        <f t="shared" si="9"/>
        <v>56350</v>
      </c>
      <c r="N26" s="767">
        <f>SUM(B26:M26)</f>
        <v>440848</v>
      </c>
      <c r="O26" s="783">
        <f>O10+O18+O24</f>
        <v>387700</v>
      </c>
      <c r="P26" s="759">
        <f>P10+P18+P24</f>
        <v>53148</v>
      </c>
      <c r="Q26" s="500"/>
    </row>
    <row r="27" spans="1:17" s="267" customFormat="1" ht="13" customHeight="1">
      <c r="A27" s="419"/>
      <c r="B27" s="715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656"/>
      <c r="N27" s="468"/>
      <c r="O27" s="780"/>
      <c r="P27" s="398"/>
      <c r="Q27" s="500"/>
    </row>
    <row r="28" spans="1:17" s="267" customFormat="1" ht="13">
      <c r="A28" s="419" t="s">
        <v>46</v>
      </c>
      <c r="B28" s="712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653"/>
      <c r="N28" s="468"/>
      <c r="O28" s="780"/>
      <c r="P28" s="398"/>
      <c r="Q28" s="500"/>
    </row>
    <row r="29" spans="1:17" s="267" customFormat="1" ht="13">
      <c r="A29" s="419" t="s">
        <v>144</v>
      </c>
      <c r="B29" s="713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654"/>
      <c r="N29" s="468"/>
      <c r="O29" s="780"/>
      <c r="P29" s="398"/>
      <c r="Q29" s="500"/>
    </row>
    <row r="30" spans="1:17" s="267" customFormat="1" ht="13">
      <c r="A30" s="420" t="s">
        <v>694</v>
      </c>
      <c r="B30" s="713">
        <v>300</v>
      </c>
      <c r="C30" s="278">
        <v>300</v>
      </c>
      <c r="D30" s="278">
        <v>450</v>
      </c>
      <c r="E30" s="278">
        <v>650</v>
      </c>
      <c r="F30" s="278">
        <v>400</v>
      </c>
      <c r="G30" s="278">
        <v>400</v>
      </c>
      <c r="H30" s="278">
        <v>400</v>
      </c>
      <c r="I30" s="278">
        <v>400</v>
      </c>
      <c r="J30" s="278">
        <v>400</v>
      </c>
      <c r="K30" s="278">
        <v>400</v>
      </c>
      <c r="L30" s="278">
        <v>400</v>
      </c>
      <c r="M30" s="654">
        <v>400</v>
      </c>
      <c r="N30" s="468">
        <f t="shared" ref="N30:N37" si="10">SUM(B30:M30)</f>
        <v>4900</v>
      </c>
      <c r="O30" s="780">
        <v>4900</v>
      </c>
      <c r="P30" s="398">
        <f>O30-N30</f>
        <v>0</v>
      </c>
      <c r="Q30" s="500"/>
    </row>
    <row r="31" spans="1:17" s="527" customFormat="1" ht="13">
      <c r="A31" s="519" t="s">
        <v>695</v>
      </c>
      <c r="B31" s="717">
        <v>8000</v>
      </c>
      <c r="C31" s="520">
        <v>1500</v>
      </c>
      <c r="D31" s="520">
        <v>895</v>
      </c>
      <c r="E31" s="520">
        <v>1850</v>
      </c>
      <c r="F31" s="520">
        <v>0</v>
      </c>
      <c r="G31" s="520">
        <v>1000</v>
      </c>
      <c r="H31" s="520">
        <v>1000</v>
      </c>
      <c r="I31" s="520">
        <v>1000</v>
      </c>
      <c r="J31" s="520">
        <v>1000</v>
      </c>
      <c r="K31" s="520">
        <v>1000</v>
      </c>
      <c r="L31" s="520">
        <v>1000</v>
      </c>
      <c r="M31" s="658">
        <v>1000</v>
      </c>
      <c r="N31" s="642">
        <f t="shared" si="10"/>
        <v>19245</v>
      </c>
      <c r="O31" s="784">
        <v>18245</v>
      </c>
      <c r="P31" s="398">
        <f t="shared" ref="P31:P36" si="11">O31-N31</f>
        <v>-1000</v>
      </c>
      <c r="Q31" s="526"/>
    </row>
    <row r="32" spans="1:17" s="527" customFormat="1" ht="13">
      <c r="A32" s="519" t="s">
        <v>696</v>
      </c>
      <c r="B32" s="717">
        <v>1500</v>
      </c>
      <c r="C32" s="520">
        <v>1500</v>
      </c>
      <c r="D32" s="520">
        <v>150</v>
      </c>
      <c r="E32" s="520">
        <v>1500</v>
      </c>
      <c r="F32" s="520">
        <v>1500</v>
      </c>
      <c r="G32" s="520">
        <v>1500</v>
      </c>
      <c r="H32" s="520">
        <v>1500</v>
      </c>
      <c r="I32" s="520">
        <v>1500</v>
      </c>
      <c r="J32" s="520">
        <v>1500</v>
      </c>
      <c r="K32" s="520">
        <v>1500</v>
      </c>
      <c r="L32" s="520">
        <v>1500</v>
      </c>
      <c r="M32" s="658">
        <v>1500</v>
      </c>
      <c r="N32" s="642">
        <f t="shared" si="10"/>
        <v>16650</v>
      </c>
      <c r="O32" s="784">
        <v>16650</v>
      </c>
      <c r="P32" s="398">
        <f t="shared" si="11"/>
        <v>0</v>
      </c>
      <c r="Q32" s="526"/>
    </row>
    <row r="33" spans="1:17" s="267" customFormat="1" ht="13">
      <c r="A33" s="420" t="s">
        <v>148</v>
      </c>
      <c r="B33" s="713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3000</v>
      </c>
      <c r="J33" s="271">
        <v>0</v>
      </c>
      <c r="K33" s="271">
        <v>0</v>
      </c>
      <c r="L33" s="271">
        <v>0</v>
      </c>
      <c r="M33" s="654">
        <v>0</v>
      </c>
      <c r="N33" s="468">
        <f t="shared" si="10"/>
        <v>3000</v>
      </c>
      <c r="O33" s="780">
        <v>3000</v>
      </c>
      <c r="P33" s="398">
        <f t="shared" si="11"/>
        <v>0</v>
      </c>
      <c r="Q33" s="500"/>
    </row>
    <row r="34" spans="1:17" s="267" customFormat="1" ht="13">
      <c r="A34" s="420" t="s">
        <v>697</v>
      </c>
      <c r="B34" s="713">
        <v>0</v>
      </c>
      <c r="C34" s="278">
        <v>500</v>
      </c>
      <c r="D34" s="278">
        <v>0</v>
      </c>
      <c r="E34" s="278">
        <v>500</v>
      </c>
      <c r="F34" s="278">
        <v>0</v>
      </c>
      <c r="G34" s="278">
        <v>500</v>
      </c>
      <c r="H34" s="278">
        <v>0</v>
      </c>
      <c r="I34" s="278">
        <v>0</v>
      </c>
      <c r="J34" s="278">
        <v>500</v>
      </c>
      <c r="K34" s="278">
        <v>0</v>
      </c>
      <c r="L34" s="278">
        <v>0</v>
      </c>
      <c r="M34" s="654">
        <v>500</v>
      </c>
      <c r="N34" s="468">
        <f>SUM(B34:M34)</f>
        <v>2500</v>
      </c>
      <c r="O34" s="780">
        <v>2500</v>
      </c>
      <c r="P34" s="398">
        <f t="shared" si="11"/>
        <v>0</v>
      </c>
      <c r="Q34" s="500"/>
    </row>
    <row r="35" spans="1:17" s="267" customFormat="1" ht="13">
      <c r="A35" s="420" t="s">
        <v>698</v>
      </c>
      <c r="B35" s="713">
        <v>2000</v>
      </c>
      <c r="C35" s="278">
        <v>2500</v>
      </c>
      <c r="D35" s="271">
        <v>100</v>
      </c>
      <c r="E35" s="271">
        <v>450</v>
      </c>
      <c r="F35" s="271">
        <v>0</v>
      </c>
      <c r="G35" s="271">
        <v>500</v>
      </c>
      <c r="H35" s="271">
        <v>0</v>
      </c>
      <c r="I35" s="271">
        <v>750</v>
      </c>
      <c r="J35" s="271">
        <v>1500</v>
      </c>
      <c r="K35" s="271">
        <v>2500</v>
      </c>
      <c r="L35" s="271">
        <v>2500</v>
      </c>
      <c r="M35" s="654">
        <v>2000</v>
      </c>
      <c r="N35" s="468">
        <f t="shared" si="10"/>
        <v>14800</v>
      </c>
      <c r="O35" s="780">
        <v>14800</v>
      </c>
      <c r="P35" s="398">
        <f t="shared" si="11"/>
        <v>0</v>
      </c>
      <c r="Q35" s="500"/>
    </row>
    <row r="36" spans="1:17" s="267" customFormat="1" ht="13">
      <c r="A36" s="420" t="s">
        <v>699</v>
      </c>
      <c r="B36" s="713">
        <v>0</v>
      </c>
      <c r="C36" s="271">
        <v>500</v>
      </c>
      <c r="D36" s="271">
        <v>0</v>
      </c>
      <c r="E36" s="271">
        <v>0</v>
      </c>
      <c r="F36" s="271">
        <v>0</v>
      </c>
      <c r="G36" s="271">
        <f>0</f>
        <v>0</v>
      </c>
      <c r="H36" s="271">
        <v>0</v>
      </c>
      <c r="I36" s="271">
        <v>0</v>
      </c>
      <c r="J36" s="271">
        <v>0</v>
      </c>
      <c r="K36" s="271">
        <v>3000</v>
      </c>
      <c r="L36" s="271">
        <v>0</v>
      </c>
      <c r="M36" s="654">
        <v>0</v>
      </c>
      <c r="N36" s="468">
        <f t="shared" si="10"/>
        <v>3500</v>
      </c>
      <c r="O36" s="780">
        <v>3500</v>
      </c>
      <c r="P36" s="398">
        <f t="shared" si="11"/>
        <v>0</v>
      </c>
      <c r="Q36" s="500"/>
    </row>
    <row r="37" spans="1:17" s="267" customFormat="1" ht="13">
      <c r="A37" s="423" t="s">
        <v>152</v>
      </c>
      <c r="B37" s="823">
        <f t="shared" ref="B37:M37" si="12">SUM(B30:B36)</f>
        <v>11800</v>
      </c>
      <c r="C37" s="276">
        <f t="shared" si="12"/>
        <v>6800</v>
      </c>
      <c r="D37" s="276">
        <f t="shared" si="12"/>
        <v>1595</v>
      </c>
      <c r="E37" s="276">
        <f t="shared" si="12"/>
        <v>4950</v>
      </c>
      <c r="F37" s="276">
        <f t="shared" si="12"/>
        <v>1900</v>
      </c>
      <c r="G37" s="276">
        <f t="shared" si="12"/>
        <v>3900</v>
      </c>
      <c r="H37" s="276">
        <f t="shared" si="12"/>
        <v>2900</v>
      </c>
      <c r="I37" s="276">
        <f t="shared" si="12"/>
        <v>6650</v>
      </c>
      <c r="J37" s="276">
        <f t="shared" si="12"/>
        <v>4900</v>
      </c>
      <c r="K37" s="276">
        <f t="shared" si="12"/>
        <v>8400</v>
      </c>
      <c r="L37" s="276">
        <f t="shared" si="12"/>
        <v>5400</v>
      </c>
      <c r="M37" s="655">
        <f t="shared" si="12"/>
        <v>5400</v>
      </c>
      <c r="N37" s="760">
        <f t="shared" si="10"/>
        <v>64595</v>
      </c>
      <c r="O37" s="782">
        <f>SUM(O30:O36)</f>
        <v>63595</v>
      </c>
      <c r="P37" s="441">
        <f>SUM(P30:P36)</f>
        <v>-1000</v>
      </c>
      <c r="Q37" s="500"/>
    </row>
    <row r="38" spans="1:17" s="267" customFormat="1" ht="6" customHeight="1">
      <c r="A38" s="419"/>
      <c r="B38" s="715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656"/>
      <c r="N38" s="468"/>
      <c r="O38" s="780"/>
      <c r="P38" s="398"/>
      <c r="Q38" s="500"/>
    </row>
    <row r="39" spans="1:17" s="267" customFormat="1" ht="13">
      <c r="A39" s="419" t="s">
        <v>153</v>
      </c>
      <c r="B39" s="72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657"/>
      <c r="N39" s="468"/>
      <c r="O39" s="780"/>
      <c r="P39" s="398"/>
      <c r="Q39" s="500"/>
    </row>
    <row r="40" spans="1:17" s="267" customFormat="1" ht="13">
      <c r="A40" s="420" t="s">
        <v>154</v>
      </c>
      <c r="B40" s="713">
        <v>2500</v>
      </c>
      <c r="C40" s="278">
        <v>150</v>
      </c>
      <c r="D40" s="278">
        <v>2500</v>
      </c>
      <c r="E40" s="278">
        <v>500</v>
      </c>
      <c r="F40" s="278">
        <v>750</v>
      </c>
      <c r="G40" s="278">
        <v>650</v>
      </c>
      <c r="H40" s="278">
        <v>1500</v>
      </c>
      <c r="I40" s="278">
        <v>250</v>
      </c>
      <c r="J40" s="278">
        <v>1000</v>
      </c>
      <c r="K40" s="278">
        <v>1000</v>
      </c>
      <c r="L40" s="278">
        <v>2000</v>
      </c>
      <c r="M40" s="654">
        <v>1500</v>
      </c>
      <c r="N40" s="467">
        <f>SUM(B40:M40)</f>
        <v>14300</v>
      </c>
      <c r="O40" s="785">
        <v>14300</v>
      </c>
      <c r="P40" s="398">
        <f>O40-N40</f>
        <v>0</v>
      </c>
      <c r="Q40" s="500"/>
    </row>
    <row r="41" spans="1:17" s="267" customFormat="1" ht="13">
      <c r="A41" s="420" t="s">
        <v>165</v>
      </c>
      <c r="B41" s="713">
        <v>100</v>
      </c>
      <c r="C41" s="278">
        <v>100</v>
      </c>
      <c r="D41" s="278">
        <v>100</v>
      </c>
      <c r="E41" s="278">
        <v>100</v>
      </c>
      <c r="F41" s="278">
        <v>100</v>
      </c>
      <c r="G41" s="278">
        <v>100</v>
      </c>
      <c r="H41" s="278">
        <v>100</v>
      </c>
      <c r="I41" s="278">
        <v>100</v>
      </c>
      <c r="J41" s="278">
        <v>100</v>
      </c>
      <c r="K41" s="278">
        <v>100</v>
      </c>
      <c r="L41" s="278">
        <v>100</v>
      </c>
      <c r="M41" s="654">
        <v>1000</v>
      </c>
      <c r="N41" s="467">
        <f t="shared" ref="N41:N44" si="13">SUM(B41:M41)</f>
        <v>2100</v>
      </c>
      <c r="O41" s="785">
        <v>2100</v>
      </c>
      <c r="P41" s="398">
        <f t="shared" ref="P41:P44" si="14">O41-N41</f>
        <v>0</v>
      </c>
      <c r="Q41" s="500"/>
    </row>
    <row r="42" spans="1:17" s="267" customFormat="1" ht="12" customHeight="1">
      <c r="A42" s="420" t="s">
        <v>700</v>
      </c>
      <c r="B42" s="713">
        <v>0</v>
      </c>
      <c r="C42" s="278">
        <v>0</v>
      </c>
      <c r="D42" s="278">
        <v>50</v>
      </c>
      <c r="E42" s="278">
        <v>0</v>
      </c>
      <c r="F42" s="278">
        <v>0</v>
      </c>
      <c r="G42" s="278">
        <v>250</v>
      </c>
      <c r="H42" s="278">
        <v>0</v>
      </c>
      <c r="I42" s="278">
        <v>0</v>
      </c>
      <c r="J42" s="278">
        <v>250</v>
      </c>
      <c r="K42" s="278">
        <v>0</v>
      </c>
      <c r="L42" s="278">
        <v>0</v>
      </c>
      <c r="M42" s="654">
        <v>250</v>
      </c>
      <c r="N42" s="468">
        <f t="shared" si="13"/>
        <v>800</v>
      </c>
      <c r="O42" s="780">
        <v>800</v>
      </c>
      <c r="P42" s="398">
        <f t="shared" si="14"/>
        <v>0</v>
      </c>
      <c r="Q42" s="500"/>
    </row>
    <row r="43" spans="1:17" s="267" customFormat="1" ht="13">
      <c r="A43" s="420" t="s">
        <v>54</v>
      </c>
      <c r="B43" s="713">
        <v>1500</v>
      </c>
      <c r="C43" s="278">
        <v>250</v>
      </c>
      <c r="D43" s="278">
        <v>450</v>
      </c>
      <c r="E43" s="278">
        <v>1900</v>
      </c>
      <c r="F43" s="278">
        <v>2500</v>
      </c>
      <c r="G43" s="278">
        <v>500</v>
      </c>
      <c r="H43" s="278">
        <v>750</v>
      </c>
      <c r="I43" s="278">
        <v>1500</v>
      </c>
      <c r="J43" s="278">
        <v>2000</v>
      </c>
      <c r="K43" s="278">
        <v>500</v>
      </c>
      <c r="L43" s="278">
        <v>2500</v>
      </c>
      <c r="M43" s="654">
        <v>500</v>
      </c>
      <c r="N43" s="468">
        <f t="shared" si="13"/>
        <v>14850</v>
      </c>
      <c r="O43" s="780">
        <v>14850</v>
      </c>
      <c r="P43" s="398">
        <f t="shared" si="14"/>
        <v>0</v>
      </c>
      <c r="Q43" s="500"/>
    </row>
    <row r="44" spans="1:17" s="267" customFormat="1" ht="13">
      <c r="A44" s="420" t="s">
        <v>56</v>
      </c>
      <c r="B44" s="713">
        <v>2500</v>
      </c>
      <c r="C44" s="278">
        <v>500</v>
      </c>
      <c r="D44" s="278">
        <v>100</v>
      </c>
      <c r="E44" s="278">
        <v>350</v>
      </c>
      <c r="F44" s="278">
        <v>500</v>
      </c>
      <c r="G44" s="278">
        <v>1500</v>
      </c>
      <c r="H44" s="278">
        <v>2500</v>
      </c>
      <c r="I44" s="278">
        <v>250</v>
      </c>
      <c r="J44" s="278">
        <v>450</v>
      </c>
      <c r="K44" s="278">
        <v>500</v>
      </c>
      <c r="L44" s="278">
        <v>250</v>
      </c>
      <c r="M44" s="654">
        <v>250</v>
      </c>
      <c r="N44" s="468">
        <f t="shared" si="13"/>
        <v>9650</v>
      </c>
      <c r="O44" s="780">
        <v>9650</v>
      </c>
      <c r="P44" s="398">
        <f t="shared" si="14"/>
        <v>0</v>
      </c>
      <c r="Q44" s="500"/>
    </row>
    <row r="45" spans="1:17" s="267" customFormat="1" ht="10" customHeight="1">
      <c r="A45" s="423" t="s">
        <v>169</v>
      </c>
      <c r="B45" s="823">
        <f t="shared" ref="B45:M45" si="15">SUM(B40:B44)</f>
        <v>6600</v>
      </c>
      <c r="C45" s="276">
        <f t="shared" si="15"/>
        <v>1000</v>
      </c>
      <c r="D45" s="276">
        <f t="shared" si="15"/>
        <v>3200</v>
      </c>
      <c r="E45" s="276">
        <f t="shared" si="15"/>
        <v>2850</v>
      </c>
      <c r="F45" s="276">
        <f t="shared" si="15"/>
        <v>3850</v>
      </c>
      <c r="G45" s="276">
        <f t="shared" si="15"/>
        <v>3000</v>
      </c>
      <c r="H45" s="276">
        <f t="shared" si="15"/>
        <v>4850</v>
      </c>
      <c r="I45" s="276">
        <f t="shared" si="15"/>
        <v>2100</v>
      </c>
      <c r="J45" s="276">
        <f t="shared" si="15"/>
        <v>3800</v>
      </c>
      <c r="K45" s="276">
        <f t="shared" si="15"/>
        <v>2100</v>
      </c>
      <c r="L45" s="276">
        <f t="shared" si="15"/>
        <v>4850</v>
      </c>
      <c r="M45" s="655">
        <f t="shared" si="15"/>
        <v>3500</v>
      </c>
      <c r="N45" s="763">
        <f>SUM(B45:M45)</f>
        <v>41700</v>
      </c>
      <c r="O45" s="782">
        <f>SUM(O40:O44)</f>
        <v>41700</v>
      </c>
      <c r="P45" s="441">
        <f>SUM(P40:P44)</f>
        <v>0</v>
      </c>
      <c r="Q45" s="503"/>
    </row>
    <row r="46" spans="1:17" s="267" customFormat="1" ht="6" customHeight="1">
      <c r="A46" s="419"/>
      <c r="B46" s="715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656"/>
      <c r="N46" s="468"/>
      <c r="O46" s="780"/>
      <c r="P46" s="398"/>
      <c r="Q46" s="500"/>
    </row>
    <row r="47" spans="1:17" s="267" customFormat="1" ht="13">
      <c r="A47" s="419" t="s">
        <v>715</v>
      </c>
      <c r="B47" s="713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654"/>
      <c r="N47" s="468"/>
      <c r="O47" s="780"/>
      <c r="P47" s="398"/>
      <c r="Q47" s="506"/>
    </row>
    <row r="48" spans="1:17" s="267" customFormat="1" ht="13">
      <c r="A48" s="420" t="s">
        <v>716</v>
      </c>
      <c r="B48" s="713">
        <v>0</v>
      </c>
      <c r="C48" s="278">
        <v>0</v>
      </c>
      <c r="D48" s="278">
        <v>0</v>
      </c>
      <c r="E48" s="278">
        <v>0</v>
      </c>
      <c r="F48" s="278">
        <v>0</v>
      </c>
      <c r="G48" s="278">
        <v>0</v>
      </c>
      <c r="H48" s="278">
        <v>0</v>
      </c>
      <c r="I48" s="278">
        <v>0</v>
      </c>
      <c r="J48" s="278">
        <v>0</v>
      </c>
      <c r="K48" s="278">
        <v>0</v>
      </c>
      <c r="L48" s="278">
        <v>0</v>
      </c>
      <c r="M48" s="654">
        <v>0</v>
      </c>
      <c r="N48" s="468">
        <f t="shared" ref="N48:N51" si="16">SUM(B48:M48)</f>
        <v>0</v>
      </c>
      <c r="O48" s="780">
        <v>0</v>
      </c>
      <c r="P48" s="398">
        <f>O48-N48</f>
        <v>0</v>
      </c>
      <c r="Q48" s="506"/>
    </row>
    <row r="49" spans="1:17" s="267" customFormat="1" ht="13">
      <c r="A49" s="420" t="s">
        <v>717</v>
      </c>
      <c r="B49" s="713">
        <v>0</v>
      </c>
      <c r="C49" s="278">
        <v>0</v>
      </c>
      <c r="D49" s="278">
        <v>0</v>
      </c>
      <c r="E49" s="278">
        <v>0</v>
      </c>
      <c r="F49" s="278">
        <v>0</v>
      </c>
      <c r="G49" s="278">
        <v>0</v>
      </c>
      <c r="H49" s="278">
        <v>0</v>
      </c>
      <c r="I49" s="278">
        <v>0</v>
      </c>
      <c r="J49" s="278">
        <v>0</v>
      </c>
      <c r="K49" s="278">
        <v>0</v>
      </c>
      <c r="L49" s="278">
        <v>0</v>
      </c>
      <c r="M49" s="654">
        <v>0</v>
      </c>
      <c r="N49" s="468">
        <f t="shared" si="16"/>
        <v>0</v>
      </c>
      <c r="O49" s="780">
        <v>0</v>
      </c>
      <c r="P49" s="398">
        <f t="shared" ref="P49:P50" si="17">O49-N49</f>
        <v>0</v>
      </c>
      <c r="Q49" s="506"/>
    </row>
    <row r="50" spans="1:17" s="267" customFormat="1" ht="13">
      <c r="A50" s="420" t="s">
        <v>718</v>
      </c>
      <c r="B50" s="713">
        <v>0</v>
      </c>
      <c r="C50" s="278">
        <v>0</v>
      </c>
      <c r="D50" s="278">
        <v>0</v>
      </c>
      <c r="E50" s="278">
        <v>0</v>
      </c>
      <c r="F50" s="278">
        <v>0</v>
      </c>
      <c r="G50" s="278">
        <v>0</v>
      </c>
      <c r="H50" s="278">
        <v>0</v>
      </c>
      <c r="I50" s="278">
        <v>0</v>
      </c>
      <c r="J50" s="278">
        <v>0</v>
      </c>
      <c r="K50" s="278">
        <v>0</v>
      </c>
      <c r="L50" s="278">
        <v>0</v>
      </c>
      <c r="M50" s="654">
        <v>0</v>
      </c>
      <c r="N50" s="468">
        <f t="shared" si="16"/>
        <v>0</v>
      </c>
      <c r="O50" s="780">
        <v>0</v>
      </c>
      <c r="P50" s="398">
        <f t="shared" si="17"/>
        <v>0</v>
      </c>
      <c r="Q50" s="506"/>
    </row>
    <row r="51" spans="1:17" s="267" customFormat="1" ht="13">
      <c r="A51" s="419" t="s">
        <v>171</v>
      </c>
      <c r="B51" s="823">
        <f t="shared" ref="B51:M51" si="18">SUM(B48:B50)</f>
        <v>0</v>
      </c>
      <c r="C51" s="276">
        <f t="shared" si="18"/>
        <v>0</v>
      </c>
      <c r="D51" s="276">
        <f t="shared" si="18"/>
        <v>0</v>
      </c>
      <c r="E51" s="276">
        <f t="shared" si="18"/>
        <v>0</v>
      </c>
      <c r="F51" s="276">
        <f t="shared" si="18"/>
        <v>0</v>
      </c>
      <c r="G51" s="276">
        <f t="shared" si="18"/>
        <v>0</v>
      </c>
      <c r="H51" s="276">
        <f t="shared" si="18"/>
        <v>0</v>
      </c>
      <c r="I51" s="276">
        <f t="shared" si="18"/>
        <v>0</v>
      </c>
      <c r="J51" s="276">
        <f t="shared" si="18"/>
        <v>0</v>
      </c>
      <c r="K51" s="276">
        <f t="shared" si="18"/>
        <v>0</v>
      </c>
      <c r="L51" s="276">
        <f t="shared" si="18"/>
        <v>0</v>
      </c>
      <c r="M51" s="655">
        <f t="shared" si="18"/>
        <v>0</v>
      </c>
      <c r="N51" s="641">
        <f t="shared" si="16"/>
        <v>0</v>
      </c>
      <c r="O51" s="786">
        <f>0+SUM(O48:O50)</f>
        <v>0</v>
      </c>
      <c r="P51" s="762">
        <f>SUM(P48:P50)</f>
        <v>0</v>
      </c>
      <c r="Q51" s="503"/>
    </row>
    <row r="52" spans="1:17" s="267" customFormat="1" ht="6" hidden="1" customHeight="1">
      <c r="A52" s="419"/>
      <c r="B52" s="715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656"/>
      <c r="N52" s="468"/>
      <c r="O52" s="780"/>
      <c r="P52" s="398" t="e">
        <f>O52-#REF!</f>
        <v>#REF!</v>
      </c>
      <c r="Q52" s="503"/>
    </row>
    <row r="53" spans="1:17" s="267" customFormat="1" ht="13" hidden="1">
      <c r="A53" s="424" t="s">
        <v>172</v>
      </c>
      <c r="B53" s="713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654"/>
      <c r="N53" s="468"/>
      <c r="O53" s="780"/>
      <c r="P53" s="398" t="e">
        <f>O53-#REF!</f>
        <v>#REF!</v>
      </c>
      <c r="Q53" s="503"/>
    </row>
    <row r="54" spans="1:17" s="267" customFormat="1" ht="13" hidden="1">
      <c r="A54" s="425" t="s">
        <v>173</v>
      </c>
      <c r="B54" s="713" t="e">
        <f>#REF!-#REF!</f>
        <v>#REF!</v>
      </c>
      <c r="C54" s="271" t="e">
        <f>#REF!-#REF!</f>
        <v>#REF!</v>
      </c>
      <c r="D54" s="271" t="e">
        <f>B54-#REF!</f>
        <v>#REF!</v>
      </c>
      <c r="E54" s="271" t="e">
        <f t="shared" ref="E54:M54" si="19">C54-B54</f>
        <v>#REF!</v>
      </c>
      <c r="F54" s="271" t="e">
        <f t="shared" si="19"/>
        <v>#REF!</v>
      </c>
      <c r="G54" s="271" t="e">
        <f t="shared" si="19"/>
        <v>#REF!</v>
      </c>
      <c r="H54" s="271" t="e">
        <f t="shared" si="19"/>
        <v>#REF!</v>
      </c>
      <c r="I54" s="271" t="e">
        <f t="shared" si="19"/>
        <v>#REF!</v>
      </c>
      <c r="J54" s="271" t="e">
        <f t="shared" si="19"/>
        <v>#REF!</v>
      </c>
      <c r="K54" s="271" t="e">
        <f t="shared" si="19"/>
        <v>#REF!</v>
      </c>
      <c r="L54" s="271" t="e">
        <f t="shared" si="19"/>
        <v>#REF!</v>
      </c>
      <c r="M54" s="654" t="e">
        <f t="shared" si="19"/>
        <v>#REF!</v>
      </c>
      <c r="N54" s="468"/>
      <c r="O54" s="780"/>
      <c r="P54" s="398" t="e">
        <f>O54-#REF!</f>
        <v>#REF!</v>
      </c>
      <c r="Q54" s="503"/>
    </row>
    <row r="55" spans="1:17" s="267" customFormat="1" ht="13" hidden="1">
      <c r="A55" s="425" t="s">
        <v>174</v>
      </c>
      <c r="B55" s="713">
        <f>0</f>
        <v>0</v>
      </c>
      <c r="C55" s="271">
        <f>0</f>
        <v>0</v>
      </c>
      <c r="D55" s="271">
        <f>0</f>
        <v>0</v>
      </c>
      <c r="E55" s="271">
        <f>0</f>
        <v>0</v>
      </c>
      <c r="F55" s="271">
        <f>0</f>
        <v>0</v>
      </c>
      <c r="G55" s="271">
        <f>0</f>
        <v>0</v>
      </c>
      <c r="H55" s="271">
        <f>0</f>
        <v>0</v>
      </c>
      <c r="I55" s="271">
        <f>0</f>
        <v>0</v>
      </c>
      <c r="J55" s="271">
        <f>0</f>
        <v>0</v>
      </c>
      <c r="K55" s="271">
        <v>0</v>
      </c>
      <c r="L55" s="271">
        <f>0</f>
        <v>0</v>
      </c>
      <c r="M55" s="654">
        <f>0</f>
        <v>0</v>
      </c>
      <c r="N55" s="468"/>
      <c r="O55" s="780"/>
      <c r="P55" s="398" t="e">
        <f>O55-#REF!</f>
        <v>#REF!</v>
      </c>
      <c r="Q55" s="503"/>
    </row>
    <row r="56" spans="1:17" s="267" customFormat="1" ht="13" hidden="1">
      <c r="A56" s="424" t="s">
        <v>175</v>
      </c>
      <c r="B56" s="713" t="e">
        <f>SUM(B54:B55)</f>
        <v>#REF!</v>
      </c>
      <c r="C56" s="271" t="e">
        <f t="shared" ref="C56:M56" si="20">SUM(C54:C55)</f>
        <v>#REF!</v>
      </c>
      <c r="D56" s="271" t="e">
        <f t="shared" si="20"/>
        <v>#REF!</v>
      </c>
      <c r="E56" s="271" t="e">
        <f t="shared" si="20"/>
        <v>#REF!</v>
      </c>
      <c r="F56" s="271" t="e">
        <f t="shared" si="20"/>
        <v>#REF!</v>
      </c>
      <c r="G56" s="271" t="e">
        <f t="shared" si="20"/>
        <v>#REF!</v>
      </c>
      <c r="H56" s="271" t="e">
        <f t="shared" si="20"/>
        <v>#REF!</v>
      </c>
      <c r="I56" s="271" t="e">
        <f t="shared" si="20"/>
        <v>#REF!</v>
      </c>
      <c r="J56" s="271" t="e">
        <f t="shared" si="20"/>
        <v>#REF!</v>
      </c>
      <c r="K56" s="271" t="e">
        <f t="shared" si="20"/>
        <v>#REF!</v>
      </c>
      <c r="L56" s="271" t="e">
        <f t="shared" si="20"/>
        <v>#REF!</v>
      </c>
      <c r="M56" s="654" t="e">
        <f t="shared" si="20"/>
        <v>#REF!</v>
      </c>
      <c r="N56" s="468"/>
      <c r="O56" s="780"/>
      <c r="P56" s="398" t="e">
        <f>O56-#REF!</f>
        <v>#REF!</v>
      </c>
      <c r="Q56" s="503"/>
    </row>
    <row r="57" spans="1:17" s="267" customFormat="1" ht="6" customHeight="1">
      <c r="A57" s="419"/>
      <c r="B57" s="715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656"/>
      <c r="N57" s="468"/>
      <c r="O57" s="780"/>
      <c r="P57" s="398"/>
      <c r="Q57" s="500"/>
    </row>
    <row r="58" spans="1:17" s="267" customFormat="1" ht="13">
      <c r="A58" s="419" t="s">
        <v>719</v>
      </c>
      <c r="B58" s="713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654"/>
      <c r="N58" s="468"/>
      <c r="O58" s="780"/>
      <c r="P58" s="398"/>
      <c r="Q58" s="500"/>
    </row>
    <row r="59" spans="1:17" s="267" customFormat="1" ht="13">
      <c r="A59" s="420" t="s">
        <v>720</v>
      </c>
      <c r="B59" s="723">
        <v>0</v>
      </c>
      <c r="C59" s="382">
        <v>0</v>
      </c>
      <c r="D59" s="382">
        <v>0</v>
      </c>
      <c r="E59" s="382">
        <v>0</v>
      </c>
      <c r="F59" s="382">
        <v>0</v>
      </c>
      <c r="G59" s="382">
        <v>0</v>
      </c>
      <c r="H59" s="382">
        <v>0</v>
      </c>
      <c r="I59" s="382">
        <v>0</v>
      </c>
      <c r="J59" s="382">
        <v>0</v>
      </c>
      <c r="K59" s="382">
        <v>0</v>
      </c>
      <c r="L59" s="382">
        <v>0</v>
      </c>
      <c r="M59" s="661">
        <v>0</v>
      </c>
      <c r="N59" s="645">
        <f t="shared" ref="N59:N61" si="21">SUM(B59:M59)</f>
        <v>0</v>
      </c>
      <c r="O59" s="780">
        <v>0</v>
      </c>
      <c r="P59" s="398">
        <f>O59-N59</f>
        <v>0</v>
      </c>
      <c r="Q59" s="500"/>
    </row>
    <row r="60" spans="1:17" s="267" customFormat="1" ht="13">
      <c r="A60" s="420" t="s">
        <v>721</v>
      </c>
      <c r="B60" s="713">
        <v>0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78">
        <v>0</v>
      </c>
      <c r="I60" s="278">
        <v>0</v>
      </c>
      <c r="J60" s="278">
        <v>0</v>
      </c>
      <c r="K60" s="278">
        <v>0</v>
      </c>
      <c r="L60" s="278">
        <v>0</v>
      </c>
      <c r="M60" s="654">
        <v>0</v>
      </c>
      <c r="N60" s="468">
        <f t="shared" si="21"/>
        <v>0</v>
      </c>
      <c r="O60" s="780">
        <v>0</v>
      </c>
      <c r="P60" s="398">
        <f>O60-N60</f>
        <v>0</v>
      </c>
      <c r="Q60" s="500"/>
    </row>
    <row r="61" spans="1:17" s="267" customFormat="1" ht="13">
      <c r="A61" s="420" t="s">
        <v>722</v>
      </c>
      <c r="B61" s="713">
        <v>0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78">
        <v>0</v>
      </c>
      <c r="I61" s="278">
        <v>0</v>
      </c>
      <c r="J61" s="278">
        <v>0</v>
      </c>
      <c r="K61" s="278">
        <v>0</v>
      </c>
      <c r="L61" s="278">
        <v>0</v>
      </c>
      <c r="M61" s="654">
        <v>0</v>
      </c>
      <c r="N61" s="468">
        <f t="shared" si="21"/>
        <v>0</v>
      </c>
      <c r="O61" s="780">
        <v>0</v>
      </c>
      <c r="P61" s="398">
        <f>O61-N61</f>
        <v>0</v>
      </c>
      <c r="Q61" s="500"/>
    </row>
    <row r="62" spans="1:17" s="267" customFormat="1" ht="13">
      <c r="A62" s="419" t="s">
        <v>693</v>
      </c>
      <c r="B62" s="823">
        <f t="shared" ref="B62:M62" si="22">SUM(B59:B61)</f>
        <v>0</v>
      </c>
      <c r="C62" s="277">
        <f t="shared" si="22"/>
        <v>0</v>
      </c>
      <c r="D62" s="276">
        <f t="shared" si="22"/>
        <v>0</v>
      </c>
      <c r="E62" s="276">
        <f t="shared" si="22"/>
        <v>0</v>
      </c>
      <c r="F62" s="276">
        <f t="shared" si="22"/>
        <v>0</v>
      </c>
      <c r="G62" s="276">
        <f t="shared" si="22"/>
        <v>0</v>
      </c>
      <c r="H62" s="276">
        <f t="shared" si="22"/>
        <v>0</v>
      </c>
      <c r="I62" s="276">
        <f t="shared" si="22"/>
        <v>0</v>
      </c>
      <c r="J62" s="276">
        <f t="shared" si="22"/>
        <v>0</v>
      </c>
      <c r="K62" s="276">
        <f t="shared" si="22"/>
        <v>0</v>
      </c>
      <c r="L62" s="276">
        <f t="shared" si="22"/>
        <v>0</v>
      </c>
      <c r="M62" s="655">
        <f t="shared" si="22"/>
        <v>0</v>
      </c>
      <c r="N62" s="641">
        <f>SUM(B62:M62)</f>
        <v>0</v>
      </c>
      <c r="O62" s="782">
        <f>SUM(O57:O61)</f>
        <v>0</v>
      </c>
      <c r="P62" s="762">
        <f>SUM(P59:P61)</f>
        <v>0</v>
      </c>
      <c r="Q62" s="500"/>
    </row>
    <row r="63" spans="1:17" s="267" customFormat="1" ht="6" customHeight="1">
      <c r="A63" s="419"/>
      <c r="B63" s="715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656"/>
      <c r="N63" s="468"/>
      <c r="O63" s="780"/>
      <c r="P63" s="398"/>
      <c r="Q63" s="500"/>
    </row>
    <row r="64" spans="1:17" s="267" customFormat="1" ht="14.5" customHeight="1">
      <c r="A64" s="419" t="s">
        <v>723</v>
      </c>
      <c r="B64" s="715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656"/>
      <c r="N64" s="468"/>
      <c r="O64" s="780"/>
      <c r="P64" s="398"/>
      <c r="Q64" s="500"/>
    </row>
    <row r="65" spans="1:17" s="267" customFormat="1" ht="13">
      <c r="A65" s="420" t="s">
        <v>690</v>
      </c>
      <c r="B65" s="713">
        <v>10000</v>
      </c>
      <c r="C65" s="278">
        <v>10000</v>
      </c>
      <c r="D65" s="278">
        <v>10000</v>
      </c>
      <c r="E65" s="278">
        <v>10000</v>
      </c>
      <c r="F65" s="278">
        <v>10000</v>
      </c>
      <c r="G65" s="278">
        <v>10000</v>
      </c>
      <c r="H65" s="278">
        <v>10000</v>
      </c>
      <c r="I65" s="278">
        <v>10000</v>
      </c>
      <c r="J65" s="278">
        <v>10000</v>
      </c>
      <c r="K65" s="278">
        <v>10000</v>
      </c>
      <c r="L65" s="278">
        <v>10000</v>
      </c>
      <c r="M65" s="654">
        <v>10000</v>
      </c>
      <c r="N65" s="468">
        <f>SUM(B65:M65)</f>
        <v>120000</v>
      </c>
      <c r="O65" s="780">
        <v>120000</v>
      </c>
      <c r="P65" s="398">
        <f>O65-N65</f>
        <v>0</v>
      </c>
      <c r="Q65" s="500"/>
    </row>
    <row r="66" spans="1:17" s="267" customFormat="1" ht="13">
      <c r="A66" s="420" t="s">
        <v>691</v>
      </c>
      <c r="B66" s="713">
        <v>5000</v>
      </c>
      <c r="C66" s="278">
        <v>5000</v>
      </c>
      <c r="D66" s="278">
        <v>5000</v>
      </c>
      <c r="E66" s="278">
        <v>5000</v>
      </c>
      <c r="F66" s="278">
        <v>5000</v>
      </c>
      <c r="G66" s="278">
        <v>5000</v>
      </c>
      <c r="H66" s="278">
        <v>5000</v>
      </c>
      <c r="I66" s="278">
        <v>5000</v>
      </c>
      <c r="J66" s="278">
        <v>5000</v>
      </c>
      <c r="K66" s="278">
        <v>5000</v>
      </c>
      <c r="L66" s="278">
        <v>5000</v>
      </c>
      <c r="M66" s="654">
        <v>5000</v>
      </c>
      <c r="N66" s="468">
        <f t="shared" ref="N66:N69" si="23">SUM(B66:M66)</f>
        <v>60000</v>
      </c>
      <c r="O66" s="780">
        <v>60000</v>
      </c>
      <c r="P66" s="398">
        <f t="shared" ref="P66:P69" si="24">O66-N66</f>
        <v>0</v>
      </c>
      <c r="Q66" s="500"/>
    </row>
    <row r="67" spans="1:17" s="267" customFormat="1" ht="13">
      <c r="A67" s="420" t="s">
        <v>692</v>
      </c>
      <c r="B67" s="713">
        <v>3000</v>
      </c>
      <c r="C67" s="278">
        <v>3000</v>
      </c>
      <c r="D67" s="278">
        <v>3000</v>
      </c>
      <c r="E67" s="278">
        <v>3000</v>
      </c>
      <c r="F67" s="278">
        <v>3000</v>
      </c>
      <c r="G67" s="278">
        <v>3000</v>
      </c>
      <c r="H67" s="278">
        <v>3000</v>
      </c>
      <c r="I67" s="278">
        <v>3000</v>
      </c>
      <c r="J67" s="278">
        <v>3000</v>
      </c>
      <c r="K67" s="278">
        <v>3000</v>
      </c>
      <c r="L67" s="278">
        <v>3000</v>
      </c>
      <c r="M67" s="654">
        <v>3000</v>
      </c>
      <c r="N67" s="468">
        <f t="shared" si="23"/>
        <v>36000</v>
      </c>
      <c r="O67" s="780">
        <v>36000</v>
      </c>
      <c r="P67" s="398">
        <f t="shared" si="24"/>
        <v>0</v>
      </c>
      <c r="Q67" s="507"/>
    </row>
    <row r="68" spans="1:17" s="267" customFormat="1" ht="13">
      <c r="A68" s="420" t="s">
        <v>210</v>
      </c>
      <c r="B68" s="713">
        <v>500</v>
      </c>
      <c r="C68" s="271">
        <v>500</v>
      </c>
      <c r="D68" s="271">
        <v>500</v>
      </c>
      <c r="E68" s="271">
        <v>500</v>
      </c>
      <c r="F68" s="271">
        <v>500</v>
      </c>
      <c r="G68" s="271">
        <v>500</v>
      </c>
      <c r="H68" s="271">
        <v>500</v>
      </c>
      <c r="I68" s="271">
        <v>500</v>
      </c>
      <c r="J68" s="271">
        <v>500</v>
      </c>
      <c r="K68" s="271">
        <v>500</v>
      </c>
      <c r="L68" s="271">
        <v>500</v>
      </c>
      <c r="M68" s="654">
        <v>500</v>
      </c>
      <c r="N68" s="468">
        <f t="shared" si="23"/>
        <v>6000</v>
      </c>
      <c r="O68" s="785">
        <v>6000</v>
      </c>
      <c r="P68" s="398">
        <f t="shared" si="24"/>
        <v>0</v>
      </c>
      <c r="Q68" s="500"/>
    </row>
    <row r="69" spans="1:17" s="267" customFormat="1" ht="13">
      <c r="A69" s="420" t="s">
        <v>213</v>
      </c>
      <c r="B69" s="713">
        <v>1500</v>
      </c>
      <c r="C69" s="271">
        <v>1500</v>
      </c>
      <c r="D69" s="271">
        <v>1500</v>
      </c>
      <c r="E69" s="271">
        <v>1500</v>
      </c>
      <c r="F69" s="271">
        <v>1500</v>
      </c>
      <c r="G69" s="271">
        <v>1500</v>
      </c>
      <c r="H69" s="271">
        <v>1500</v>
      </c>
      <c r="I69" s="271">
        <v>1500</v>
      </c>
      <c r="J69" s="271">
        <v>1500</v>
      </c>
      <c r="K69" s="271">
        <v>1500</v>
      </c>
      <c r="L69" s="271">
        <v>1500</v>
      </c>
      <c r="M69" s="654">
        <v>1500</v>
      </c>
      <c r="N69" s="468">
        <f t="shared" si="23"/>
        <v>18000</v>
      </c>
      <c r="O69" s="785">
        <v>18000</v>
      </c>
      <c r="P69" s="398">
        <f t="shared" si="24"/>
        <v>0</v>
      </c>
      <c r="Q69" s="500"/>
    </row>
    <row r="70" spans="1:17" s="267" customFormat="1" ht="13">
      <c r="A70" s="419" t="s">
        <v>214</v>
      </c>
      <c r="B70" s="823">
        <f t="shared" ref="B70:M70" si="25">SUM(B65:B69)</f>
        <v>20000</v>
      </c>
      <c r="C70" s="276">
        <f t="shared" si="25"/>
        <v>20000</v>
      </c>
      <c r="D70" s="276">
        <f t="shared" si="25"/>
        <v>20000</v>
      </c>
      <c r="E70" s="276">
        <f t="shared" si="25"/>
        <v>20000</v>
      </c>
      <c r="F70" s="276">
        <f t="shared" si="25"/>
        <v>20000</v>
      </c>
      <c r="G70" s="276">
        <f t="shared" si="25"/>
        <v>20000</v>
      </c>
      <c r="H70" s="276">
        <f t="shared" si="25"/>
        <v>20000</v>
      </c>
      <c r="I70" s="276">
        <f t="shared" si="25"/>
        <v>20000</v>
      </c>
      <c r="J70" s="276">
        <f t="shared" si="25"/>
        <v>20000</v>
      </c>
      <c r="K70" s="276">
        <f t="shared" si="25"/>
        <v>20000</v>
      </c>
      <c r="L70" s="276">
        <f t="shared" si="25"/>
        <v>20000</v>
      </c>
      <c r="M70" s="655">
        <f t="shared" si="25"/>
        <v>20000</v>
      </c>
      <c r="N70" s="641">
        <f>SUM(B70:M70)</f>
        <v>240000</v>
      </c>
      <c r="O70" s="782">
        <f>SUM(O65:O69)</f>
        <v>240000</v>
      </c>
      <c r="P70" s="762">
        <f>SUM(P65:P69)</f>
        <v>0</v>
      </c>
      <c r="Q70" s="507"/>
    </row>
    <row r="71" spans="1:17" s="267" customFormat="1" ht="6" customHeight="1" thickBot="1">
      <c r="A71" s="419"/>
      <c r="B71" s="715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656"/>
      <c r="N71" s="468"/>
      <c r="O71" s="780"/>
      <c r="P71" s="398"/>
      <c r="Q71" s="500"/>
    </row>
    <row r="72" spans="1:17" s="368" customFormat="1" ht="14" thickTop="1">
      <c r="A72" s="445" t="s">
        <v>107</v>
      </c>
      <c r="B72" s="725">
        <f>B70+B62+B51+B45+B37</f>
        <v>38400</v>
      </c>
      <c r="C72" s="752">
        <f>C70+C62+C51+C45+C37</f>
        <v>27800</v>
      </c>
      <c r="D72" s="752">
        <f t="shared" ref="D72:L72" si="26">D70+D62+D51+D45+D37</f>
        <v>24795</v>
      </c>
      <c r="E72" s="752">
        <f t="shared" si="26"/>
        <v>27800</v>
      </c>
      <c r="F72" s="752">
        <f t="shared" si="26"/>
        <v>25750</v>
      </c>
      <c r="G72" s="752">
        <f t="shared" si="26"/>
        <v>26900</v>
      </c>
      <c r="H72" s="752">
        <f t="shared" si="26"/>
        <v>27750</v>
      </c>
      <c r="I72" s="752">
        <f t="shared" si="26"/>
        <v>28750</v>
      </c>
      <c r="J72" s="752">
        <f t="shared" si="26"/>
        <v>28700</v>
      </c>
      <c r="K72" s="752">
        <f t="shared" si="26"/>
        <v>30500</v>
      </c>
      <c r="L72" s="752">
        <f t="shared" si="26"/>
        <v>30250</v>
      </c>
      <c r="M72" s="753">
        <f>M70+M62+M51+M45+M37</f>
        <v>28900</v>
      </c>
      <c r="N72" s="777">
        <f>N70+N62+N51+N45+N37</f>
        <v>346295</v>
      </c>
      <c r="O72" s="787">
        <f>O70+O62+O51+O45+O37</f>
        <v>345295</v>
      </c>
      <c r="P72" s="759">
        <f>P70+P62+P51+P45+P37</f>
        <v>-1000</v>
      </c>
      <c r="Q72" s="508"/>
    </row>
    <row r="73" spans="1:17" s="368" customFormat="1" ht="13" thickBot="1">
      <c r="A73" s="419"/>
      <c r="B73" s="726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662"/>
      <c r="N73" s="468"/>
      <c r="O73" s="780"/>
      <c r="P73" s="764"/>
      <c r="Q73" s="502"/>
    </row>
    <row r="74" spans="1:17" s="267" customFormat="1" ht="14" thickBot="1">
      <c r="A74" s="459" t="s">
        <v>108</v>
      </c>
      <c r="B74" s="727">
        <f t="shared" ref="B74:O74" si="27">B26-B72</f>
        <v>9848</v>
      </c>
      <c r="C74" s="755">
        <f t="shared" si="27"/>
        <v>-8950</v>
      </c>
      <c r="D74" s="755">
        <f t="shared" si="27"/>
        <v>41555</v>
      </c>
      <c r="E74" s="755">
        <f t="shared" si="27"/>
        <v>1050</v>
      </c>
      <c r="F74" s="755">
        <f t="shared" si="27"/>
        <v>-11900</v>
      </c>
      <c r="G74" s="755">
        <f t="shared" si="27"/>
        <v>-1800</v>
      </c>
      <c r="H74" s="755">
        <f t="shared" si="27"/>
        <v>-13900</v>
      </c>
      <c r="I74" s="755">
        <f t="shared" si="27"/>
        <v>-14900</v>
      </c>
      <c r="J74" s="755">
        <f t="shared" si="27"/>
        <v>42150</v>
      </c>
      <c r="K74" s="755">
        <f t="shared" si="27"/>
        <v>350</v>
      </c>
      <c r="L74" s="755">
        <f t="shared" si="27"/>
        <v>23600</v>
      </c>
      <c r="M74" s="756">
        <f t="shared" si="27"/>
        <v>27450</v>
      </c>
      <c r="N74" s="765">
        <f t="shared" si="27"/>
        <v>94553</v>
      </c>
      <c r="O74" s="788">
        <f t="shared" si="27"/>
        <v>42405</v>
      </c>
      <c r="P74" s="766">
        <f>P72+P26</f>
        <v>52148</v>
      </c>
      <c r="Q74" s="509"/>
    </row>
    <row r="75" spans="1:17" s="267" customFormat="1" ht="12">
      <c r="A75" s="420"/>
      <c r="B75" s="413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653"/>
      <c r="N75" s="468"/>
      <c r="O75" s="780"/>
      <c r="P75" s="394"/>
      <c r="Q75" s="500"/>
    </row>
    <row r="76" spans="1:17" s="285" customFormat="1" ht="12">
      <c r="A76" s="427" t="s">
        <v>215</v>
      </c>
      <c r="B76" s="286">
        <v>75000</v>
      </c>
      <c r="C76" s="813">
        <f t="shared" ref="C76:M76" si="28">B78</f>
        <v>84848</v>
      </c>
      <c r="D76" s="814">
        <f t="shared" si="28"/>
        <v>75898</v>
      </c>
      <c r="E76" s="813">
        <f t="shared" si="28"/>
        <v>117453</v>
      </c>
      <c r="F76" s="813">
        <f t="shared" si="28"/>
        <v>118503</v>
      </c>
      <c r="G76" s="813">
        <f t="shared" si="28"/>
        <v>106603</v>
      </c>
      <c r="H76" s="813">
        <f t="shared" si="28"/>
        <v>104803</v>
      </c>
      <c r="I76" s="813">
        <f t="shared" si="28"/>
        <v>90903</v>
      </c>
      <c r="J76" s="813">
        <f t="shared" si="28"/>
        <v>76003</v>
      </c>
      <c r="K76" s="813">
        <f t="shared" si="28"/>
        <v>118153</v>
      </c>
      <c r="L76" s="813">
        <f t="shared" si="28"/>
        <v>118503</v>
      </c>
      <c r="M76" s="815">
        <f t="shared" si="28"/>
        <v>142103</v>
      </c>
      <c r="N76" s="468"/>
      <c r="O76" s="780"/>
      <c r="P76" s="394"/>
      <c r="Q76" s="510"/>
    </row>
    <row r="77" spans="1:17" s="267" customFormat="1" ht="12">
      <c r="A77" s="421"/>
      <c r="B77" s="414"/>
      <c r="C77" s="273"/>
      <c r="D77" s="371"/>
      <c r="E77" s="273"/>
      <c r="F77" s="273"/>
      <c r="G77" s="273"/>
      <c r="H77" s="273"/>
      <c r="I77" s="273"/>
      <c r="J77" s="273"/>
      <c r="K77" s="273"/>
      <c r="L77" s="273"/>
      <c r="M77" s="657"/>
      <c r="N77" s="468"/>
      <c r="O77" s="780"/>
      <c r="P77" s="394"/>
      <c r="Q77" s="500"/>
    </row>
    <row r="78" spans="1:17" s="368" customFormat="1" ht="13" thickBot="1">
      <c r="A78" s="772" t="s">
        <v>216</v>
      </c>
      <c r="B78" s="774">
        <f>B74+B76</f>
        <v>84848</v>
      </c>
      <c r="C78" s="774">
        <f t="shared" ref="C78:M78" si="29">C74+C76</f>
        <v>75898</v>
      </c>
      <c r="D78" s="775">
        <f t="shared" si="29"/>
        <v>117453</v>
      </c>
      <c r="E78" s="774">
        <f t="shared" si="29"/>
        <v>118503</v>
      </c>
      <c r="F78" s="774">
        <f t="shared" si="29"/>
        <v>106603</v>
      </c>
      <c r="G78" s="774">
        <f t="shared" si="29"/>
        <v>104803</v>
      </c>
      <c r="H78" s="774">
        <f t="shared" si="29"/>
        <v>90903</v>
      </c>
      <c r="I78" s="774">
        <f t="shared" si="29"/>
        <v>76003</v>
      </c>
      <c r="J78" s="774">
        <f t="shared" si="29"/>
        <v>118153</v>
      </c>
      <c r="K78" s="774">
        <f t="shared" si="29"/>
        <v>118503</v>
      </c>
      <c r="L78" s="774">
        <f t="shared" si="29"/>
        <v>142103</v>
      </c>
      <c r="M78" s="776">
        <f t="shared" si="29"/>
        <v>169553</v>
      </c>
      <c r="N78" s="468"/>
      <c r="O78" s="780"/>
      <c r="P78" s="394"/>
      <c r="Q78" s="502"/>
    </row>
    <row r="79" spans="1:17" s="368" customFormat="1" ht="12">
      <c r="A79" s="427"/>
      <c r="B79" s="287"/>
      <c r="C79" s="275"/>
      <c r="D79" s="371"/>
      <c r="E79" s="275"/>
      <c r="F79" s="275"/>
      <c r="G79" s="275"/>
      <c r="H79" s="275"/>
      <c r="I79" s="275"/>
      <c r="J79" s="275"/>
      <c r="K79" s="275"/>
      <c r="L79" s="275"/>
      <c r="M79" s="664"/>
      <c r="N79" s="468"/>
      <c r="O79" s="780"/>
      <c r="P79" s="394"/>
      <c r="Q79" s="502"/>
    </row>
    <row r="80" spans="1:17" s="267" customFormat="1" ht="27" thickBot="1">
      <c r="A80" s="773" t="s">
        <v>217</v>
      </c>
      <c r="B80" s="816">
        <v>75000</v>
      </c>
      <c r="C80" s="816">
        <v>86200</v>
      </c>
      <c r="D80" s="817">
        <v>77250</v>
      </c>
      <c r="E80" s="816">
        <v>66305</v>
      </c>
      <c r="F80" s="816">
        <v>67355</v>
      </c>
      <c r="G80" s="816">
        <v>54455</v>
      </c>
      <c r="H80" s="816">
        <v>52655</v>
      </c>
      <c r="I80" s="816">
        <v>38755</v>
      </c>
      <c r="J80" s="816">
        <v>23855</v>
      </c>
      <c r="K80" s="816">
        <v>66005</v>
      </c>
      <c r="L80" s="816">
        <v>66355</v>
      </c>
      <c r="M80" s="818">
        <v>89955</v>
      </c>
      <c r="N80" s="649"/>
      <c r="O80" s="789"/>
      <c r="P80" s="394"/>
      <c r="Q80" s="500"/>
    </row>
    <row r="82" spans="2:3" ht="19">
      <c r="B82" s="819" t="s">
        <v>732</v>
      </c>
    </row>
    <row r="83" spans="2:3" ht="19">
      <c r="B83" s="819" t="s">
        <v>733</v>
      </c>
      <c r="C83" s="819"/>
    </row>
    <row r="85" spans="2:3" ht="19">
      <c r="B85" s="819" t="s">
        <v>725</v>
      </c>
    </row>
    <row r="86" spans="2:3" ht="19">
      <c r="B86" s="819" t="s">
        <v>726</v>
      </c>
    </row>
    <row r="87" spans="2:3" ht="19">
      <c r="B87" s="819" t="s">
        <v>727</v>
      </c>
    </row>
    <row r="88" spans="2:3" ht="19">
      <c r="B88" s="819" t="s">
        <v>728</v>
      </c>
    </row>
    <row r="89" spans="2:3" ht="19">
      <c r="B89" s="819" t="s">
        <v>729</v>
      </c>
    </row>
    <row r="90" spans="2:3" ht="19">
      <c r="B90" s="819" t="s">
        <v>730</v>
      </c>
    </row>
    <row r="91" spans="2:3" ht="19">
      <c r="B91" s="819" t="s">
        <v>731</v>
      </c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D505B-BB54-9243-9E6C-8167314B3425}">
  <dimension ref="A1:Q91"/>
  <sheetViews>
    <sheetView zoomScale="142" zoomScaleNormal="142" zoomScalePageLayoutView="150" workbookViewId="0">
      <pane xSplit="1" ySplit="3" topLeftCell="B51" activePane="bottomRight" state="frozen"/>
      <selection pane="topRight" activeCell="AW1" sqref="AW1"/>
      <selection pane="bottomLeft" activeCell="A4" sqref="A4"/>
      <selection pane="bottomRight" activeCell="B6" sqref="B6:B11"/>
    </sheetView>
  </sheetViews>
  <sheetFormatPr baseColWidth="10" defaultColWidth="8.83203125" defaultRowHeight="15"/>
  <cols>
    <col min="1" max="1" width="33.6640625" style="768" bestFit="1" customWidth="1"/>
    <col min="2" max="2" width="10.1640625" style="541" bestFit="1" customWidth="1"/>
    <col min="3" max="12" width="10.1640625" style="541" customWidth="1"/>
    <col min="13" max="13" width="10.1640625" style="541" bestFit="1" customWidth="1"/>
    <col min="14" max="14" width="13.83203125" style="769" bestFit="1" customWidth="1"/>
    <col min="15" max="15" width="13.83203125" style="790" bestFit="1" customWidth="1"/>
    <col min="16" max="16" width="15.1640625" style="770" customWidth="1"/>
    <col min="17" max="17" width="20.6640625" style="771" customWidth="1"/>
    <col min="18" max="16384" width="8.83203125" style="541"/>
  </cols>
  <sheetData>
    <row r="1" spans="1:17" s="121" customFormat="1" ht="26">
      <c r="A1" s="417"/>
      <c r="B1" s="377"/>
      <c r="C1" s="294"/>
      <c r="D1" s="294"/>
      <c r="E1" s="294"/>
      <c r="F1" s="294"/>
      <c r="G1" s="366" t="s">
        <v>3</v>
      </c>
      <c r="H1" s="294"/>
      <c r="I1" s="294"/>
      <c r="J1" s="294"/>
      <c r="K1" s="377"/>
      <c r="L1" s="294"/>
      <c r="M1" s="650"/>
      <c r="N1" s="392"/>
      <c r="O1" s="778"/>
      <c r="P1" s="394"/>
      <c r="Q1" s="501"/>
    </row>
    <row r="2" spans="1:17" s="121" customFormat="1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N2" s="392"/>
      <c r="O2" s="778"/>
      <c r="P2" s="394"/>
      <c r="Q2" s="501"/>
    </row>
    <row r="3" spans="1:17" s="638" customFormat="1" ht="1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791" t="s">
        <v>3</v>
      </c>
      <c r="O3" s="779" t="s">
        <v>703</v>
      </c>
      <c r="P3" s="433" t="s">
        <v>724</v>
      </c>
      <c r="Q3" s="490" t="s">
        <v>714</v>
      </c>
    </row>
    <row r="4" spans="1:17" s="267" customFormat="1" ht="13">
      <c r="A4" s="419" t="s">
        <v>9</v>
      </c>
      <c r="B4" s="41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780"/>
      <c r="P4" s="398"/>
      <c r="Q4" s="500"/>
    </row>
    <row r="5" spans="1:17" s="267" customFormat="1" ht="13">
      <c r="A5" s="419" t="s">
        <v>10</v>
      </c>
      <c r="B5" s="27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780"/>
      <c r="P5" s="398"/>
      <c r="Q5" s="500"/>
    </row>
    <row r="6" spans="1:17" s="267" customFormat="1" ht="13">
      <c r="A6" s="420" t="s">
        <v>11</v>
      </c>
      <c r="B6" s="278"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0" si="0">SUM(B6:M6)</f>
        <v>0</v>
      </c>
      <c r="O6" s="780">
        <v>0</v>
      </c>
      <c r="P6" s="398">
        <f>N6-O6</f>
        <v>0</v>
      </c>
      <c r="Q6" s="500"/>
    </row>
    <row r="7" spans="1:17" s="267" customFormat="1" ht="13">
      <c r="A7" s="420" t="s">
        <v>13</v>
      </c>
      <c r="B7" s="278">
        <v>20000</v>
      </c>
      <c r="C7" s="271">
        <v>0</v>
      </c>
      <c r="D7" s="271">
        <v>0</v>
      </c>
      <c r="E7" s="271">
        <v>10000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654">
        <v>0</v>
      </c>
      <c r="N7" s="468">
        <f t="shared" si="0"/>
        <v>30000</v>
      </c>
      <c r="O7" s="780">
        <v>30000</v>
      </c>
      <c r="P7" s="398">
        <f t="shared" ref="P7:P8" si="1">N7-O7</f>
        <v>0</v>
      </c>
      <c r="Q7" s="500"/>
    </row>
    <row r="8" spans="1:17" s="267" customFormat="1" ht="12">
      <c r="A8" s="421" t="s">
        <v>701</v>
      </c>
      <c r="B8" s="278">
        <v>15000</v>
      </c>
      <c r="C8" s="271">
        <v>1250</v>
      </c>
      <c r="D8" s="271">
        <v>1250</v>
      </c>
      <c r="E8" s="271">
        <v>1250</v>
      </c>
      <c r="F8" s="271">
        <v>1250</v>
      </c>
      <c r="G8" s="271">
        <v>7500</v>
      </c>
      <c r="H8" s="271">
        <v>1250</v>
      </c>
      <c r="I8" s="271">
        <v>1250</v>
      </c>
      <c r="J8" s="271">
        <f>1250+10000</f>
        <v>11250</v>
      </c>
      <c r="K8" s="271">
        <v>1250</v>
      </c>
      <c r="L8" s="271">
        <v>1250</v>
      </c>
      <c r="M8" s="654">
        <v>3750</v>
      </c>
      <c r="N8" s="468">
        <f t="shared" si="0"/>
        <v>47500</v>
      </c>
      <c r="O8" s="781">
        <v>47500</v>
      </c>
      <c r="P8" s="398">
        <f t="shared" si="1"/>
        <v>0</v>
      </c>
      <c r="Q8" s="500"/>
    </row>
    <row r="9" spans="1:17" s="267" customFormat="1" ht="15" customHeight="1">
      <c r="A9" s="420" t="s">
        <v>702</v>
      </c>
      <c r="B9" s="278">
        <v>10000</v>
      </c>
      <c r="C9" s="271">
        <v>10000</v>
      </c>
      <c r="D9" s="271">
        <v>10000</v>
      </c>
      <c r="E9" s="271">
        <v>10000</v>
      </c>
      <c r="F9" s="271">
        <v>10000</v>
      </c>
      <c r="G9" s="271">
        <v>10000</v>
      </c>
      <c r="H9" s="271">
        <v>10000</v>
      </c>
      <c r="I9" s="271">
        <v>10000</v>
      </c>
      <c r="J9" s="271">
        <v>10000</v>
      </c>
      <c r="K9" s="271">
        <v>10000</v>
      </c>
      <c r="L9" s="271">
        <v>50000</v>
      </c>
      <c r="M9" s="654">
        <v>50000</v>
      </c>
      <c r="N9" s="468">
        <f t="shared" si="0"/>
        <v>200000</v>
      </c>
      <c r="O9" s="780">
        <v>200000</v>
      </c>
      <c r="P9" s="757">
        <f>N9-O9</f>
        <v>0</v>
      </c>
      <c r="Q9" s="500"/>
    </row>
    <row r="10" spans="1:17" s="267" customFormat="1" ht="13">
      <c r="A10" s="437" t="s">
        <v>19</v>
      </c>
      <c r="B10" s="276">
        <f t="shared" ref="B10:M10" si="2">SUM(B6:B9)</f>
        <v>45000</v>
      </c>
      <c r="C10" s="276">
        <f t="shared" si="2"/>
        <v>11250</v>
      </c>
      <c r="D10" s="276">
        <f t="shared" si="2"/>
        <v>11250</v>
      </c>
      <c r="E10" s="276">
        <f t="shared" si="2"/>
        <v>21250</v>
      </c>
      <c r="F10" s="276">
        <f t="shared" si="2"/>
        <v>11250</v>
      </c>
      <c r="G10" s="276">
        <f t="shared" si="2"/>
        <v>17500</v>
      </c>
      <c r="H10" s="276">
        <f t="shared" si="2"/>
        <v>11250</v>
      </c>
      <c r="I10" s="276">
        <f t="shared" si="2"/>
        <v>11250</v>
      </c>
      <c r="J10" s="276">
        <f t="shared" si="2"/>
        <v>21250</v>
      </c>
      <c r="K10" s="276">
        <f t="shared" si="2"/>
        <v>11250</v>
      </c>
      <c r="L10" s="276">
        <f t="shared" si="2"/>
        <v>51250</v>
      </c>
      <c r="M10" s="655">
        <f t="shared" si="2"/>
        <v>53750</v>
      </c>
      <c r="N10" s="641">
        <f t="shared" si="0"/>
        <v>277500</v>
      </c>
      <c r="O10" s="782">
        <f>SUM(O6:O9)</f>
        <v>277500</v>
      </c>
      <c r="P10" s="398">
        <f>SUM(P6:P9)</f>
        <v>0</v>
      </c>
      <c r="Q10" s="500"/>
    </row>
    <row r="11" spans="1:17" s="267" customFormat="1" ht="6" customHeight="1">
      <c r="A11" s="420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656"/>
      <c r="N11" s="468"/>
      <c r="O11" s="780"/>
      <c r="P11" s="398"/>
      <c r="Q11" s="500"/>
    </row>
    <row r="12" spans="1:17" s="267" customFormat="1" ht="13">
      <c r="A12" s="419" t="s">
        <v>704</v>
      </c>
      <c r="B12" s="278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654"/>
      <c r="N12" s="468"/>
      <c r="O12" s="780"/>
      <c r="P12" s="398"/>
      <c r="Q12" s="500"/>
    </row>
    <row r="13" spans="1:17" s="267" customFormat="1" ht="13">
      <c r="A13" s="420" t="s">
        <v>21</v>
      </c>
      <c r="B13" s="278">
        <v>0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17000</v>
      </c>
      <c r="K13" s="271">
        <v>17000</v>
      </c>
      <c r="L13" s="271">
        <v>0</v>
      </c>
      <c r="M13" s="654">
        <f>0</f>
        <v>0</v>
      </c>
      <c r="N13" s="468">
        <f>SUM(B13:M13)</f>
        <v>34000</v>
      </c>
      <c r="O13" s="780">
        <v>34000</v>
      </c>
      <c r="P13" s="398">
        <f>N13-O13</f>
        <v>0</v>
      </c>
      <c r="Q13" s="500"/>
    </row>
    <row r="14" spans="1:17" s="267" customFormat="1" ht="13">
      <c r="A14" s="420" t="s">
        <v>705</v>
      </c>
      <c r="B14" s="278">
        <v>50</v>
      </c>
      <c r="C14" s="271">
        <v>50</v>
      </c>
      <c r="D14" s="271">
        <v>50</v>
      </c>
      <c r="E14" s="271">
        <v>50</v>
      </c>
      <c r="F14" s="271">
        <v>50</v>
      </c>
      <c r="G14" s="271">
        <v>50</v>
      </c>
      <c r="H14" s="271">
        <v>50</v>
      </c>
      <c r="I14" s="271">
        <v>50</v>
      </c>
      <c r="J14" s="271">
        <v>50</v>
      </c>
      <c r="K14" s="271">
        <v>50</v>
      </c>
      <c r="L14" s="271">
        <v>50</v>
      </c>
      <c r="M14" s="654">
        <v>50</v>
      </c>
      <c r="N14" s="468">
        <f t="shared" ref="N14:N15" si="3">SUM(B14:M14)</f>
        <v>600</v>
      </c>
      <c r="O14" s="780">
        <v>600</v>
      </c>
      <c r="P14" s="398">
        <f t="shared" ref="P14:P17" si="4">N14-O14</f>
        <v>0</v>
      </c>
      <c r="Q14" s="500"/>
    </row>
    <row r="15" spans="1:17" s="267" customFormat="1" ht="13">
      <c r="A15" s="420" t="s">
        <v>706</v>
      </c>
      <c r="B15" s="278">
        <v>2500</v>
      </c>
      <c r="C15" s="271">
        <v>2500</v>
      </c>
      <c r="D15" s="271">
        <v>2500</v>
      </c>
      <c r="E15" s="271">
        <v>2500</v>
      </c>
      <c r="F15" s="271">
        <v>2500</v>
      </c>
      <c r="G15" s="271">
        <v>2500</v>
      </c>
      <c r="H15" s="271">
        <v>2500</v>
      </c>
      <c r="I15" s="271">
        <v>2500</v>
      </c>
      <c r="J15" s="271">
        <v>2500</v>
      </c>
      <c r="K15" s="271">
        <v>2500</v>
      </c>
      <c r="L15" s="271">
        <v>2500</v>
      </c>
      <c r="M15" s="654">
        <v>2500</v>
      </c>
      <c r="N15" s="468">
        <f t="shared" si="3"/>
        <v>30000</v>
      </c>
      <c r="O15" s="780">
        <v>30000</v>
      </c>
      <c r="P15" s="398">
        <f t="shared" si="4"/>
        <v>0</v>
      </c>
      <c r="Q15" s="500"/>
    </row>
    <row r="16" spans="1:17" s="267" customFormat="1" ht="13">
      <c r="A16" s="419" t="s">
        <v>707</v>
      </c>
      <c r="B16" s="278">
        <v>0</v>
      </c>
      <c r="C16" s="271">
        <v>5000</v>
      </c>
      <c r="D16" s="271">
        <v>0</v>
      </c>
      <c r="E16" s="271">
        <v>5000</v>
      </c>
      <c r="F16" s="271">
        <v>0</v>
      </c>
      <c r="G16" s="271">
        <v>5000</v>
      </c>
      <c r="H16" s="271">
        <v>0</v>
      </c>
      <c r="I16" s="271">
        <v>0</v>
      </c>
      <c r="J16" s="271">
        <v>10000</v>
      </c>
      <c r="K16" s="271">
        <f>0</f>
        <v>0</v>
      </c>
      <c r="L16" s="271">
        <f>0</f>
        <v>0</v>
      </c>
      <c r="M16" s="654">
        <f>0</f>
        <v>0</v>
      </c>
      <c r="N16" s="468">
        <f>SUM(B16:M16)</f>
        <v>25000</v>
      </c>
      <c r="O16" s="780">
        <v>25000</v>
      </c>
      <c r="P16" s="398">
        <f t="shared" si="4"/>
        <v>0</v>
      </c>
      <c r="Q16" s="500"/>
    </row>
    <row r="17" spans="1:17" s="267" customFormat="1" ht="13">
      <c r="A17" s="420" t="s">
        <v>708</v>
      </c>
      <c r="B17" s="278">
        <v>0</v>
      </c>
      <c r="C17" s="271">
        <f>0</f>
        <v>0</v>
      </c>
      <c r="D17" s="271">
        <f>0</f>
        <v>0</v>
      </c>
      <c r="E17" s="271">
        <f>0</f>
        <v>0</v>
      </c>
      <c r="F17" s="271">
        <v>0</v>
      </c>
      <c r="G17" s="278">
        <f>0</f>
        <v>0</v>
      </c>
      <c r="H17" s="271">
        <v>0</v>
      </c>
      <c r="I17" s="271">
        <v>0</v>
      </c>
      <c r="J17" s="271">
        <v>20000</v>
      </c>
      <c r="K17" s="271">
        <f>0</f>
        <v>0</v>
      </c>
      <c r="L17" s="271">
        <f>0</f>
        <v>0</v>
      </c>
      <c r="M17" s="654">
        <f>0</f>
        <v>0</v>
      </c>
      <c r="N17" s="468">
        <f>SUM(B17:M17)</f>
        <v>20000</v>
      </c>
      <c r="O17" s="780">
        <v>20000</v>
      </c>
      <c r="P17" s="757">
        <f t="shared" si="4"/>
        <v>0</v>
      </c>
      <c r="Q17" s="500"/>
    </row>
    <row r="18" spans="1:17" s="368" customFormat="1" ht="13">
      <c r="A18" s="419" t="s">
        <v>709</v>
      </c>
      <c r="B18" s="276">
        <f>SUM(B13:B17)</f>
        <v>2550</v>
      </c>
      <c r="C18" s="276">
        <f t="shared" ref="C18:M18" si="5">SUM(C13:C17)</f>
        <v>7550</v>
      </c>
      <c r="D18" s="276">
        <f t="shared" si="5"/>
        <v>2550</v>
      </c>
      <c r="E18" s="276">
        <f t="shared" si="5"/>
        <v>7550</v>
      </c>
      <c r="F18" s="276">
        <f t="shared" si="5"/>
        <v>2550</v>
      </c>
      <c r="G18" s="276">
        <f t="shared" si="5"/>
        <v>7550</v>
      </c>
      <c r="H18" s="276">
        <f t="shared" si="5"/>
        <v>2550</v>
      </c>
      <c r="I18" s="276">
        <f t="shared" si="5"/>
        <v>2550</v>
      </c>
      <c r="J18" s="276">
        <f t="shared" si="5"/>
        <v>49550</v>
      </c>
      <c r="K18" s="276">
        <f t="shared" si="5"/>
        <v>19550</v>
      </c>
      <c r="L18" s="276">
        <f t="shared" si="5"/>
        <v>2550</v>
      </c>
      <c r="M18" s="655">
        <f t="shared" si="5"/>
        <v>2550</v>
      </c>
      <c r="N18" s="641">
        <f>SUM(B18:M18)</f>
        <v>109600</v>
      </c>
      <c r="O18" s="782">
        <f>SUM(O13:O17)</f>
        <v>109600</v>
      </c>
      <c r="P18" s="398">
        <f>SUM(P13:P17)</f>
        <v>0</v>
      </c>
      <c r="Q18" s="502"/>
    </row>
    <row r="19" spans="1:17" s="267" customFormat="1" ht="6" customHeight="1">
      <c r="A19" s="420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656"/>
      <c r="N19" s="468"/>
      <c r="O19" s="780"/>
      <c r="P19" s="398"/>
      <c r="Q19" s="500"/>
    </row>
    <row r="20" spans="1:17" s="267" customFormat="1" ht="13">
      <c r="A20" s="419" t="s">
        <v>710</v>
      </c>
      <c r="B20" s="278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654"/>
      <c r="N20" s="468"/>
      <c r="O20" s="780"/>
      <c r="P20" s="398"/>
      <c r="Q20" s="500"/>
    </row>
    <row r="21" spans="1:17" s="267" customFormat="1" ht="13">
      <c r="A21" s="420" t="s">
        <v>711</v>
      </c>
      <c r="B21" s="278">
        <f>0</f>
        <v>0</v>
      </c>
      <c r="C21" s="271">
        <f>0</f>
        <v>0</v>
      </c>
      <c r="D21" s="271">
        <v>0</v>
      </c>
      <c r="E21" s="271">
        <v>0</v>
      </c>
      <c r="F21" s="271">
        <f>0</f>
        <v>0</v>
      </c>
      <c r="G21" s="271">
        <f>0</f>
        <v>0</v>
      </c>
      <c r="H21" s="271">
        <f>0</f>
        <v>0</v>
      </c>
      <c r="I21" s="271">
        <f>0</f>
        <v>0</v>
      </c>
      <c r="J21" s="271">
        <f>0</f>
        <v>0</v>
      </c>
      <c r="K21" s="271">
        <f>0</f>
        <v>0</v>
      </c>
      <c r="L21" s="271">
        <f>0</f>
        <v>0</v>
      </c>
      <c r="M21" s="654">
        <f>0</f>
        <v>0</v>
      </c>
      <c r="N21" s="468">
        <f>SUM(B21:M21)</f>
        <v>0</v>
      </c>
      <c r="O21" s="780">
        <v>0</v>
      </c>
      <c r="P21" s="398">
        <f>N21-O21</f>
        <v>0</v>
      </c>
      <c r="Q21" s="500"/>
    </row>
    <row r="22" spans="1:17" s="267" customFormat="1" ht="13">
      <c r="A22" s="420" t="s">
        <v>712</v>
      </c>
      <c r="B22" s="278">
        <v>50</v>
      </c>
      <c r="C22" s="271">
        <v>50</v>
      </c>
      <c r="D22" s="271">
        <v>50</v>
      </c>
      <c r="E22" s="271">
        <v>50</v>
      </c>
      <c r="F22" s="271">
        <v>50</v>
      </c>
      <c r="G22" s="271">
        <v>50</v>
      </c>
      <c r="H22" s="271">
        <v>50</v>
      </c>
      <c r="I22" s="271">
        <v>50</v>
      </c>
      <c r="J22" s="271">
        <v>50</v>
      </c>
      <c r="K22" s="271">
        <v>50</v>
      </c>
      <c r="L22" s="271">
        <v>50</v>
      </c>
      <c r="M22" s="654">
        <v>50</v>
      </c>
      <c r="N22" s="468">
        <f>SUM(B22:M22)</f>
        <v>600</v>
      </c>
      <c r="O22" s="780">
        <v>600</v>
      </c>
      <c r="P22" s="398">
        <f t="shared" ref="P22:P23" si="6">N22-O22</f>
        <v>0</v>
      </c>
      <c r="Q22" s="500"/>
    </row>
    <row r="23" spans="1:17" s="267" customFormat="1" ht="13">
      <c r="A23" s="420" t="s">
        <v>713</v>
      </c>
      <c r="B23" s="278">
        <v>0</v>
      </c>
      <c r="C23" s="278">
        <v>0</v>
      </c>
      <c r="D23" s="278">
        <v>0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657">
        <v>0</v>
      </c>
      <c r="N23" s="468">
        <f>SUM(B23:M23)</f>
        <v>0</v>
      </c>
      <c r="O23" s="780">
        <v>0</v>
      </c>
      <c r="P23" s="757">
        <f t="shared" si="6"/>
        <v>0</v>
      </c>
      <c r="Q23" s="500"/>
    </row>
    <row r="24" spans="1:17" s="267" customFormat="1" ht="13">
      <c r="A24" s="422" t="s">
        <v>29</v>
      </c>
      <c r="B24" s="276">
        <f>SUM(B20:B23)</f>
        <v>50</v>
      </c>
      <c r="C24" s="276">
        <f>SUM(C21:C23)</f>
        <v>50</v>
      </c>
      <c r="D24" s="276">
        <f t="shared" ref="D24:M24" si="7">SUM(D21:D23)</f>
        <v>50</v>
      </c>
      <c r="E24" s="276">
        <f t="shared" si="7"/>
        <v>50</v>
      </c>
      <c r="F24" s="276">
        <f t="shared" si="7"/>
        <v>50</v>
      </c>
      <c r="G24" s="276">
        <f t="shared" si="7"/>
        <v>50</v>
      </c>
      <c r="H24" s="276">
        <f>SUM(H20:H23)</f>
        <v>50</v>
      </c>
      <c r="I24" s="276">
        <f t="shared" si="7"/>
        <v>50</v>
      </c>
      <c r="J24" s="276">
        <f t="shared" si="7"/>
        <v>50</v>
      </c>
      <c r="K24" s="276">
        <f t="shared" si="7"/>
        <v>50</v>
      </c>
      <c r="L24" s="276">
        <f t="shared" si="7"/>
        <v>50</v>
      </c>
      <c r="M24" s="655">
        <f t="shared" si="7"/>
        <v>50</v>
      </c>
      <c r="N24" s="641">
        <f>SUM(B24:M24)</f>
        <v>600</v>
      </c>
      <c r="O24" s="782">
        <f>SUM(O21:O23)</f>
        <v>600</v>
      </c>
      <c r="P24" s="398">
        <f>SUM(P21:P23)</f>
        <v>0</v>
      </c>
      <c r="Q24" s="500"/>
    </row>
    <row r="25" spans="1:17" s="267" customFormat="1" ht="6" customHeight="1" thickBot="1">
      <c r="A25" s="420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656"/>
      <c r="N25" s="468"/>
      <c r="O25" s="780"/>
      <c r="P25" s="758"/>
      <c r="Q25" s="500"/>
    </row>
    <row r="26" spans="1:17" s="267" customFormat="1" ht="14" thickTop="1">
      <c r="A26" s="445" t="s">
        <v>45</v>
      </c>
      <c r="B26" s="752">
        <f>B24+B18+B10</f>
        <v>47600</v>
      </c>
      <c r="C26" s="752">
        <f>C24+C18+C10</f>
        <v>18850</v>
      </c>
      <c r="D26" s="752">
        <f t="shared" ref="D26:M26" si="8">D24+D18+D10</f>
        <v>13850</v>
      </c>
      <c r="E26" s="752">
        <f t="shared" si="8"/>
        <v>28850</v>
      </c>
      <c r="F26" s="752">
        <f t="shared" si="8"/>
        <v>13850</v>
      </c>
      <c r="G26" s="752">
        <f t="shared" si="8"/>
        <v>25100</v>
      </c>
      <c r="H26" s="752">
        <f t="shared" si="8"/>
        <v>13850</v>
      </c>
      <c r="I26" s="752">
        <f t="shared" si="8"/>
        <v>13850</v>
      </c>
      <c r="J26" s="752">
        <f t="shared" si="8"/>
        <v>70850</v>
      </c>
      <c r="K26" s="752">
        <f t="shared" si="8"/>
        <v>30850</v>
      </c>
      <c r="L26" s="752">
        <f t="shared" si="8"/>
        <v>53850</v>
      </c>
      <c r="M26" s="752">
        <f t="shared" si="8"/>
        <v>56350</v>
      </c>
      <c r="N26" s="767">
        <f>SUM(B26:M26)</f>
        <v>387700</v>
      </c>
      <c r="O26" s="783">
        <f>O10+O18+O24</f>
        <v>387700</v>
      </c>
      <c r="P26" s="759">
        <f>P10+P18+P24</f>
        <v>0</v>
      </c>
      <c r="Q26" s="500"/>
    </row>
    <row r="27" spans="1:17" s="267" customFormat="1" ht="13" customHeight="1">
      <c r="A27" s="419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656"/>
      <c r="N27" s="468"/>
      <c r="O27" s="780"/>
      <c r="P27" s="398"/>
      <c r="Q27" s="500"/>
    </row>
    <row r="28" spans="1:17" s="267" customFormat="1" ht="13">
      <c r="A28" s="419" t="s">
        <v>46</v>
      </c>
      <c r="B28" s="413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653"/>
      <c r="N28" s="468"/>
      <c r="O28" s="780"/>
      <c r="P28" s="398"/>
      <c r="Q28" s="500"/>
    </row>
    <row r="29" spans="1:17" s="267" customFormat="1" ht="13">
      <c r="A29" s="419" t="s">
        <v>144</v>
      </c>
      <c r="B29" s="278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654"/>
      <c r="N29" s="468"/>
      <c r="O29" s="780"/>
      <c r="P29" s="398"/>
      <c r="Q29" s="500"/>
    </row>
    <row r="30" spans="1:17" s="267" customFormat="1" ht="13">
      <c r="A30" s="420" t="s">
        <v>694</v>
      </c>
      <c r="B30" s="278">
        <v>300</v>
      </c>
      <c r="C30" s="278">
        <v>300</v>
      </c>
      <c r="D30" s="278">
        <v>450</v>
      </c>
      <c r="E30" s="278">
        <v>650</v>
      </c>
      <c r="F30" s="278">
        <v>400</v>
      </c>
      <c r="G30" s="278">
        <v>400</v>
      </c>
      <c r="H30" s="278">
        <v>400</v>
      </c>
      <c r="I30" s="278">
        <v>400</v>
      </c>
      <c r="J30" s="278">
        <v>400</v>
      </c>
      <c r="K30" s="278">
        <v>400</v>
      </c>
      <c r="L30" s="278">
        <v>400</v>
      </c>
      <c r="M30" s="654">
        <v>400</v>
      </c>
      <c r="N30" s="468">
        <f t="shared" ref="N30:N37" si="9">SUM(B30:M30)</f>
        <v>4900</v>
      </c>
      <c r="O30" s="780">
        <v>4900</v>
      </c>
      <c r="P30" s="398">
        <f>O30-N30</f>
        <v>0</v>
      </c>
      <c r="Q30" s="500"/>
    </row>
    <row r="31" spans="1:17" s="527" customFormat="1" ht="13">
      <c r="A31" s="519" t="s">
        <v>695</v>
      </c>
      <c r="B31" s="520">
        <v>6000</v>
      </c>
      <c r="C31" s="520">
        <v>1500</v>
      </c>
      <c r="D31" s="520">
        <v>895</v>
      </c>
      <c r="E31" s="520">
        <v>1850</v>
      </c>
      <c r="F31" s="520">
        <v>1000</v>
      </c>
      <c r="G31" s="520">
        <v>1000</v>
      </c>
      <c r="H31" s="520">
        <v>1000</v>
      </c>
      <c r="I31" s="520">
        <v>1000</v>
      </c>
      <c r="J31" s="520">
        <v>1000</v>
      </c>
      <c r="K31" s="520">
        <v>1000</v>
      </c>
      <c r="L31" s="520">
        <v>1000</v>
      </c>
      <c r="M31" s="658">
        <v>1000</v>
      </c>
      <c r="N31" s="642">
        <f t="shared" si="9"/>
        <v>18245</v>
      </c>
      <c r="O31" s="784">
        <v>18245</v>
      </c>
      <c r="P31" s="398">
        <f t="shared" ref="P31:P36" si="10">O31-N31</f>
        <v>0</v>
      </c>
      <c r="Q31" s="526"/>
    </row>
    <row r="32" spans="1:17" s="527" customFormat="1" ht="13">
      <c r="A32" s="519" t="s">
        <v>696</v>
      </c>
      <c r="B32" s="520">
        <v>1500</v>
      </c>
      <c r="C32" s="520">
        <v>1500</v>
      </c>
      <c r="D32" s="520">
        <v>150</v>
      </c>
      <c r="E32" s="520">
        <v>1500</v>
      </c>
      <c r="F32" s="520">
        <v>1500</v>
      </c>
      <c r="G32" s="520">
        <v>1500</v>
      </c>
      <c r="H32" s="520">
        <v>1500</v>
      </c>
      <c r="I32" s="520">
        <v>1500</v>
      </c>
      <c r="J32" s="520">
        <v>1500</v>
      </c>
      <c r="K32" s="520">
        <v>1500</v>
      </c>
      <c r="L32" s="520">
        <v>1500</v>
      </c>
      <c r="M32" s="658">
        <v>1500</v>
      </c>
      <c r="N32" s="642">
        <f t="shared" si="9"/>
        <v>16650</v>
      </c>
      <c r="O32" s="784">
        <v>16650</v>
      </c>
      <c r="P32" s="398">
        <f t="shared" si="10"/>
        <v>0</v>
      </c>
      <c r="Q32" s="526"/>
    </row>
    <row r="33" spans="1:17" s="267" customFormat="1" ht="13">
      <c r="A33" s="420" t="s">
        <v>148</v>
      </c>
      <c r="B33" s="278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3000</v>
      </c>
      <c r="J33" s="271">
        <v>0</v>
      </c>
      <c r="K33" s="271">
        <v>0</v>
      </c>
      <c r="L33" s="271">
        <v>0</v>
      </c>
      <c r="M33" s="654">
        <v>0</v>
      </c>
      <c r="N33" s="468">
        <f t="shared" si="9"/>
        <v>3000</v>
      </c>
      <c r="O33" s="780">
        <v>3000</v>
      </c>
      <c r="P33" s="398">
        <f t="shared" si="10"/>
        <v>0</v>
      </c>
      <c r="Q33" s="500"/>
    </row>
    <row r="34" spans="1:17" s="267" customFormat="1" ht="13">
      <c r="A34" s="420" t="s">
        <v>697</v>
      </c>
      <c r="B34" s="278">
        <v>0</v>
      </c>
      <c r="C34" s="278">
        <v>500</v>
      </c>
      <c r="D34" s="278">
        <v>0</v>
      </c>
      <c r="E34" s="278">
        <v>500</v>
      </c>
      <c r="F34" s="278">
        <v>0</v>
      </c>
      <c r="G34" s="278">
        <v>500</v>
      </c>
      <c r="H34" s="278">
        <v>0</v>
      </c>
      <c r="I34" s="278">
        <v>0</v>
      </c>
      <c r="J34" s="278">
        <v>500</v>
      </c>
      <c r="K34" s="278">
        <v>0</v>
      </c>
      <c r="L34" s="278">
        <v>0</v>
      </c>
      <c r="M34" s="654">
        <v>500</v>
      </c>
      <c r="N34" s="468">
        <f>SUM(B34:M34)</f>
        <v>2500</v>
      </c>
      <c r="O34" s="780">
        <v>2500</v>
      </c>
      <c r="P34" s="398">
        <f t="shared" si="10"/>
        <v>0</v>
      </c>
      <c r="Q34" s="500"/>
    </row>
    <row r="35" spans="1:17" s="267" customFormat="1" ht="13">
      <c r="A35" s="420" t="s">
        <v>698</v>
      </c>
      <c r="B35" s="278">
        <v>2000</v>
      </c>
      <c r="C35" s="278">
        <v>2500</v>
      </c>
      <c r="D35" s="271">
        <v>100</v>
      </c>
      <c r="E35" s="271">
        <v>450</v>
      </c>
      <c r="F35" s="271">
        <v>0</v>
      </c>
      <c r="G35" s="271">
        <v>500</v>
      </c>
      <c r="H35" s="271">
        <v>0</v>
      </c>
      <c r="I35" s="271">
        <v>750</v>
      </c>
      <c r="J35" s="271">
        <v>1500</v>
      </c>
      <c r="K35" s="271">
        <v>2500</v>
      </c>
      <c r="L35" s="271">
        <v>2500</v>
      </c>
      <c r="M35" s="654">
        <v>2000</v>
      </c>
      <c r="N35" s="468">
        <f t="shared" si="9"/>
        <v>14800</v>
      </c>
      <c r="O35" s="780">
        <v>14800</v>
      </c>
      <c r="P35" s="398">
        <f t="shared" si="10"/>
        <v>0</v>
      </c>
      <c r="Q35" s="500"/>
    </row>
    <row r="36" spans="1:17" s="267" customFormat="1" ht="13">
      <c r="A36" s="420" t="s">
        <v>699</v>
      </c>
      <c r="B36" s="278">
        <v>0</v>
      </c>
      <c r="C36" s="271">
        <v>500</v>
      </c>
      <c r="D36" s="271">
        <v>0</v>
      </c>
      <c r="E36" s="271">
        <v>0</v>
      </c>
      <c r="F36" s="271">
        <v>0</v>
      </c>
      <c r="G36" s="271">
        <f>0</f>
        <v>0</v>
      </c>
      <c r="H36" s="271">
        <v>0</v>
      </c>
      <c r="I36" s="271">
        <v>0</v>
      </c>
      <c r="J36" s="271">
        <v>0</v>
      </c>
      <c r="K36" s="271">
        <v>3000</v>
      </c>
      <c r="L36" s="271">
        <v>0</v>
      </c>
      <c r="M36" s="654">
        <v>0</v>
      </c>
      <c r="N36" s="468">
        <f t="shared" si="9"/>
        <v>3500</v>
      </c>
      <c r="O36" s="780">
        <v>3500</v>
      </c>
      <c r="P36" s="398">
        <f t="shared" si="10"/>
        <v>0</v>
      </c>
      <c r="Q36" s="500"/>
    </row>
    <row r="37" spans="1:17" s="267" customFormat="1" ht="13">
      <c r="A37" s="423" t="s">
        <v>152</v>
      </c>
      <c r="B37" s="761">
        <f t="shared" ref="B37:M37" si="11">SUM(B30:B36)</f>
        <v>9800</v>
      </c>
      <c r="C37" s="276">
        <f t="shared" si="11"/>
        <v>6800</v>
      </c>
      <c r="D37" s="276">
        <f t="shared" si="11"/>
        <v>1595</v>
      </c>
      <c r="E37" s="276">
        <f t="shared" si="11"/>
        <v>4950</v>
      </c>
      <c r="F37" s="276">
        <f t="shared" si="11"/>
        <v>2900</v>
      </c>
      <c r="G37" s="276">
        <f t="shared" si="11"/>
        <v>3900</v>
      </c>
      <c r="H37" s="276">
        <f t="shared" si="11"/>
        <v>2900</v>
      </c>
      <c r="I37" s="276">
        <f t="shared" si="11"/>
        <v>6650</v>
      </c>
      <c r="J37" s="276">
        <f t="shared" si="11"/>
        <v>4900</v>
      </c>
      <c r="K37" s="276">
        <f t="shared" si="11"/>
        <v>8400</v>
      </c>
      <c r="L37" s="276">
        <f t="shared" si="11"/>
        <v>5400</v>
      </c>
      <c r="M37" s="655">
        <f t="shared" si="11"/>
        <v>5400</v>
      </c>
      <c r="N37" s="760">
        <f t="shared" si="9"/>
        <v>63595</v>
      </c>
      <c r="O37" s="782">
        <f>SUM(O30:O36)</f>
        <v>63595</v>
      </c>
      <c r="P37" s="441">
        <f>SUM(P30:P36)</f>
        <v>0</v>
      </c>
      <c r="Q37" s="500"/>
    </row>
    <row r="38" spans="1:17" s="267" customFormat="1" ht="6" customHeight="1">
      <c r="A38" s="419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656"/>
      <c r="N38" s="468"/>
      <c r="O38" s="780"/>
      <c r="P38" s="398"/>
      <c r="Q38" s="500"/>
    </row>
    <row r="39" spans="1:17" s="267" customFormat="1" ht="13">
      <c r="A39" s="419" t="s">
        <v>153</v>
      </c>
      <c r="B39" s="414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657"/>
      <c r="N39" s="468"/>
      <c r="O39" s="780"/>
      <c r="P39" s="398"/>
      <c r="Q39" s="500"/>
    </row>
    <row r="40" spans="1:17" s="267" customFormat="1" ht="13">
      <c r="A40" s="420" t="s">
        <v>154</v>
      </c>
      <c r="B40" s="278">
        <v>2500</v>
      </c>
      <c r="C40" s="278">
        <v>150</v>
      </c>
      <c r="D40" s="278">
        <v>2500</v>
      </c>
      <c r="E40" s="278">
        <v>500</v>
      </c>
      <c r="F40" s="278">
        <v>750</v>
      </c>
      <c r="G40" s="278">
        <v>650</v>
      </c>
      <c r="H40" s="278">
        <v>1500</v>
      </c>
      <c r="I40" s="278">
        <v>250</v>
      </c>
      <c r="J40" s="278">
        <v>1000</v>
      </c>
      <c r="K40" s="278">
        <v>1000</v>
      </c>
      <c r="L40" s="278">
        <v>2000</v>
      </c>
      <c r="M40" s="654">
        <v>1500</v>
      </c>
      <c r="N40" s="467">
        <f>SUM(B40:M40)</f>
        <v>14300</v>
      </c>
      <c r="O40" s="785">
        <v>14300</v>
      </c>
      <c r="P40" s="398">
        <f>O40-N40</f>
        <v>0</v>
      </c>
      <c r="Q40" s="500"/>
    </row>
    <row r="41" spans="1:17" s="267" customFormat="1" ht="13">
      <c r="A41" s="420" t="s">
        <v>165</v>
      </c>
      <c r="B41" s="278">
        <v>100</v>
      </c>
      <c r="C41" s="278">
        <v>100</v>
      </c>
      <c r="D41" s="278">
        <v>100</v>
      </c>
      <c r="E41" s="278">
        <v>100</v>
      </c>
      <c r="F41" s="278">
        <v>100</v>
      </c>
      <c r="G41" s="278">
        <v>100</v>
      </c>
      <c r="H41" s="278">
        <v>100</v>
      </c>
      <c r="I41" s="278">
        <v>100</v>
      </c>
      <c r="J41" s="278">
        <v>100</v>
      </c>
      <c r="K41" s="278">
        <v>100</v>
      </c>
      <c r="L41" s="278">
        <v>100</v>
      </c>
      <c r="M41" s="654">
        <v>1000</v>
      </c>
      <c r="N41" s="467">
        <f t="shared" ref="N41:N44" si="12">SUM(B41:M41)</f>
        <v>2100</v>
      </c>
      <c r="O41" s="785">
        <v>2100</v>
      </c>
      <c r="P41" s="398">
        <f t="shared" ref="P41:P44" si="13">O41-N41</f>
        <v>0</v>
      </c>
      <c r="Q41" s="500"/>
    </row>
    <row r="42" spans="1:17" s="267" customFormat="1" ht="12" customHeight="1">
      <c r="A42" s="420" t="s">
        <v>700</v>
      </c>
      <c r="B42" s="278">
        <v>0</v>
      </c>
      <c r="C42" s="278">
        <v>0</v>
      </c>
      <c r="D42" s="278">
        <v>50</v>
      </c>
      <c r="E42" s="278">
        <v>0</v>
      </c>
      <c r="F42" s="278">
        <v>0</v>
      </c>
      <c r="G42" s="278">
        <v>250</v>
      </c>
      <c r="H42" s="278">
        <v>0</v>
      </c>
      <c r="I42" s="278">
        <v>0</v>
      </c>
      <c r="J42" s="278">
        <v>250</v>
      </c>
      <c r="K42" s="278">
        <v>0</v>
      </c>
      <c r="L42" s="278">
        <v>0</v>
      </c>
      <c r="M42" s="654">
        <v>250</v>
      </c>
      <c r="N42" s="468">
        <f t="shared" si="12"/>
        <v>800</v>
      </c>
      <c r="O42" s="780">
        <v>800</v>
      </c>
      <c r="P42" s="398">
        <f t="shared" si="13"/>
        <v>0</v>
      </c>
      <c r="Q42" s="500"/>
    </row>
    <row r="43" spans="1:17" s="267" customFormat="1" ht="13">
      <c r="A43" s="420" t="s">
        <v>54</v>
      </c>
      <c r="B43" s="278">
        <v>1500</v>
      </c>
      <c r="C43" s="278">
        <v>250</v>
      </c>
      <c r="D43" s="278">
        <v>450</v>
      </c>
      <c r="E43" s="278">
        <v>1900</v>
      </c>
      <c r="F43" s="278">
        <v>2500</v>
      </c>
      <c r="G43" s="278">
        <v>500</v>
      </c>
      <c r="H43" s="278">
        <v>750</v>
      </c>
      <c r="I43" s="278">
        <v>1500</v>
      </c>
      <c r="J43" s="278">
        <v>2000</v>
      </c>
      <c r="K43" s="278">
        <v>500</v>
      </c>
      <c r="L43" s="278">
        <v>2500</v>
      </c>
      <c r="M43" s="654">
        <v>500</v>
      </c>
      <c r="N43" s="468">
        <f t="shared" si="12"/>
        <v>14850</v>
      </c>
      <c r="O43" s="780">
        <v>14850</v>
      </c>
      <c r="P43" s="398">
        <f t="shared" si="13"/>
        <v>0</v>
      </c>
      <c r="Q43" s="500"/>
    </row>
    <row r="44" spans="1:17" s="267" customFormat="1" ht="13">
      <c r="A44" s="420" t="s">
        <v>56</v>
      </c>
      <c r="B44" s="278">
        <v>2500</v>
      </c>
      <c r="C44" s="278">
        <v>500</v>
      </c>
      <c r="D44" s="278">
        <v>100</v>
      </c>
      <c r="E44" s="278">
        <v>350</v>
      </c>
      <c r="F44" s="278">
        <v>500</v>
      </c>
      <c r="G44" s="278">
        <v>1500</v>
      </c>
      <c r="H44" s="278">
        <v>2500</v>
      </c>
      <c r="I44" s="278">
        <v>250</v>
      </c>
      <c r="J44" s="278">
        <v>450</v>
      </c>
      <c r="K44" s="278">
        <v>500</v>
      </c>
      <c r="L44" s="278">
        <v>250</v>
      </c>
      <c r="M44" s="654">
        <v>250</v>
      </c>
      <c r="N44" s="468">
        <f t="shared" si="12"/>
        <v>9650</v>
      </c>
      <c r="O44" s="780">
        <v>9650</v>
      </c>
      <c r="P44" s="398">
        <f t="shared" si="13"/>
        <v>0</v>
      </c>
      <c r="Q44" s="500"/>
    </row>
    <row r="45" spans="1:17" s="267" customFormat="1" ht="10" customHeight="1">
      <c r="A45" s="423" t="s">
        <v>169</v>
      </c>
      <c r="B45" s="761">
        <f t="shared" ref="B45:M45" si="14">SUM(B40:B44)</f>
        <v>6600</v>
      </c>
      <c r="C45" s="276">
        <f t="shared" si="14"/>
        <v>1000</v>
      </c>
      <c r="D45" s="276">
        <f t="shared" si="14"/>
        <v>3200</v>
      </c>
      <c r="E45" s="276">
        <f t="shared" si="14"/>
        <v>2850</v>
      </c>
      <c r="F45" s="276">
        <f t="shared" si="14"/>
        <v>3850</v>
      </c>
      <c r="G45" s="276">
        <f t="shared" si="14"/>
        <v>3000</v>
      </c>
      <c r="H45" s="276">
        <f t="shared" si="14"/>
        <v>4850</v>
      </c>
      <c r="I45" s="276">
        <f t="shared" si="14"/>
        <v>2100</v>
      </c>
      <c r="J45" s="276">
        <f t="shared" si="14"/>
        <v>3800</v>
      </c>
      <c r="K45" s="276">
        <f t="shared" si="14"/>
        <v>2100</v>
      </c>
      <c r="L45" s="276">
        <f t="shared" si="14"/>
        <v>4850</v>
      </c>
      <c r="M45" s="655">
        <f t="shared" si="14"/>
        <v>3500</v>
      </c>
      <c r="N45" s="763">
        <f>SUM(B45:M45)</f>
        <v>41700</v>
      </c>
      <c r="O45" s="782">
        <f>SUM(O40:O44)</f>
        <v>41700</v>
      </c>
      <c r="P45" s="441">
        <f>SUM(P40:P44)</f>
        <v>0</v>
      </c>
      <c r="Q45" s="503"/>
    </row>
    <row r="46" spans="1:17" s="267" customFormat="1" ht="6" customHeight="1">
      <c r="A46" s="419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656"/>
      <c r="N46" s="468"/>
      <c r="O46" s="780"/>
      <c r="P46" s="398"/>
      <c r="Q46" s="500"/>
    </row>
    <row r="47" spans="1:17" s="267" customFormat="1" ht="13">
      <c r="A47" s="419" t="s">
        <v>715</v>
      </c>
      <c r="B47" s="278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654"/>
      <c r="N47" s="468"/>
      <c r="O47" s="780"/>
      <c r="P47" s="398"/>
      <c r="Q47" s="506"/>
    </row>
    <row r="48" spans="1:17" s="267" customFormat="1" ht="13">
      <c r="A48" s="420" t="s">
        <v>716</v>
      </c>
      <c r="B48" s="278">
        <v>0</v>
      </c>
      <c r="C48" s="278">
        <v>0</v>
      </c>
      <c r="D48" s="278">
        <v>0</v>
      </c>
      <c r="E48" s="278">
        <v>0</v>
      </c>
      <c r="F48" s="278">
        <v>0</v>
      </c>
      <c r="G48" s="278">
        <v>0</v>
      </c>
      <c r="H48" s="278">
        <v>0</v>
      </c>
      <c r="I48" s="278">
        <v>0</v>
      </c>
      <c r="J48" s="278">
        <v>0</v>
      </c>
      <c r="K48" s="278">
        <v>0</v>
      </c>
      <c r="L48" s="278">
        <v>0</v>
      </c>
      <c r="M48" s="654">
        <v>0</v>
      </c>
      <c r="N48" s="468">
        <f t="shared" ref="N48:N51" si="15">SUM(B48:M48)</f>
        <v>0</v>
      </c>
      <c r="O48" s="780">
        <v>0</v>
      </c>
      <c r="P48" s="398">
        <f>O48-N48</f>
        <v>0</v>
      </c>
      <c r="Q48" s="506"/>
    </row>
    <row r="49" spans="1:17" s="267" customFormat="1" ht="13">
      <c r="A49" s="420" t="s">
        <v>717</v>
      </c>
      <c r="B49" s="278">
        <v>0</v>
      </c>
      <c r="C49" s="278">
        <v>0</v>
      </c>
      <c r="D49" s="278">
        <v>0</v>
      </c>
      <c r="E49" s="278">
        <v>0</v>
      </c>
      <c r="F49" s="278">
        <v>0</v>
      </c>
      <c r="G49" s="278">
        <v>0</v>
      </c>
      <c r="H49" s="278">
        <v>0</v>
      </c>
      <c r="I49" s="278">
        <v>0</v>
      </c>
      <c r="J49" s="278">
        <v>0</v>
      </c>
      <c r="K49" s="278">
        <v>0</v>
      </c>
      <c r="L49" s="278">
        <v>0</v>
      </c>
      <c r="M49" s="654">
        <v>0</v>
      </c>
      <c r="N49" s="468">
        <f t="shared" si="15"/>
        <v>0</v>
      </c>
      <c r="O49" s="780">
        <v>0</v>
      </c>
      <c r="P49" s="398">
        <f t="shared" ref="P49:P50" si="16">O49-N49</f>
        <v>0</v>
      </c>
      <c r="Q49" s="506"/>
    </row>
    <row r="50" spans="1:17" s="267" customFormat="1" ht="13">
      <c r="A50" s="420" t="s">
        <v>718</v>
      </c>
      <c r="B50" s="278">
        <v>0</v>
      </c>
      <c r="C50" s="278">
        <v>0</v>
      </c>
      <c r="D50" s="278">
        <v>0</v>
      </c>
      <c r="E50" s="278">
        <v>0</v>
      </c>
      <c r="F50" s="278">
        <v>0</v>
      </c>
      <c r="G50" s="278">
        <v>0</v>
      </c>
      <c r="H50" s="278">
        <v>0</v>
      </c>
      <c r="I50" s="278">
        <v>0</v>
      </c>
      <c r="J50" s="278">
        <v>0</v>
      </c>
      <c r="K50" s="278">
        <v>0</v>
      </c>
      <c r="L50" s="278">
        <v>0</v>
      </c>
      <c r="M50" s="654">
        <v>0</v>
      </c>
      <c r="N50" s="468">
        <f t="shared" si="15"/>
        <v>0</v>
      </c>
      <c r="O50" s="780">
        <v>0</v>
      </c>
      <c r="P50" s="398">
        <f t="shared" si="16"/>
        <v>0</v>
      </c>
      <c r="Q50" s="506"/>
    </row>
    <row r="51" spans="1:17" s="267" customFormat="1" ht="13">
      <c r="A51" s="419" t="s">
        <v>171</v>
      </c>
      <c r="B51" s="761">
        <f t="shared" ref="B51:M51" si="17">SUM(B48:B50)</f>
        <v>0</v>
      </c>
      <c r="C51" s="276">
        <f t="shared" si="17"/>
        <v>0</v>
      </c>
      <c r="D51" s="276">
        <f t="shared" si="17"/>
        <v>0</v>
      </c>
      <c r="E51" s="276">
        <f t="shared" si="17"/>
        <v>0</v>
      </c>
      <c r="F51" s="276">
        <f t="shared" si="17"/>
        <v>0</v>
      </c>
      <c r="G51" s="276">
        <f t="shared" si="17"/>
        <v>0</v>
      </c>
      <c r="H51" s="276">
        <f t="shared" si="17"/>
        <v>0</v>
      </c>
      <c r="I51" s="276">
        <f t="shared" si="17"/>
        <v>0</v>
      </c>
      <c r="J51" s="276">
        <f t="shared" si="17"/>
        <v>0</v>
      </c>
      <c r="K51" s="276">
        <f t="shared" si="17"/>
        <v>0</v>
      </c>
      <c r="L51" s="276">
        <f t="shared" si="17"/>
        <v>0</v>
      </c>
      <c r="M51" s="655">
        <f t="shared" si="17"/>
        <v>0</v>
      </c>
      <c r="N51" s="641">
        <f t="shared" si="15"/>
        <v>0</v>
      </c>
      <c r="O51" s="786">
        <f>0+SUM(O48:O50)</f>
        <v>0</v>
      </c>
      <c r="P51" s="762">
        <f>SUM(P48:P50)</f>
        <v>0</v>
      </c>
      <c r="Q51" s="503"/>
    </row>
    <row r="52" spans="1:17" s="267" customFormat="1" ht="6" hidden="1" customHeight="1">
      <c r="A52" s="419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656"/>
      <c r="N52" s="468"/>
      <c r="O52" s="780"/>
      <c r="P52" s="398" t="e">
        <f>O52-#REF!</f>
        <v>#REF!</v>
      </c>
      <c r="Q52" s="503"/>
    </row>
    <row r="53" spans="1:17" s="267" customFormat="1" ht="13" hidden="1">
      <c r="A53" s="424" t="s">
        <v>172</v>
      </c>
      <c r="B53" s="278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654"/>
      <c r="N53" s="468"/>
      <c r="O53" s="780"/>
      <c r="P53" s="398" t="e">
        <f>O53-#REF!</f>
        <v>#REF!</v>
      </c>
      <c r="Q53" s="503"/>
    </row>
    <row r="54" spans="1:17" s="267" customFormat="1" ht="13" hidden="1">
      <c r="A54" s="425" t="s">
        <v>173</v>
      </c>
      <c r="B54" s="278" t="e">
        <f>#REF!-#REF!</f>
        <v>#REF!</v>
      </c>
      <c r="C54" s="271" t="e">
        <f>#REF!-#REF!</f>
        <v>#REF!</v>
      </c>
      <c r="D54" s="271" t="e">
        <f>B54-#REF!</f>
        <v>#REF!</v>
      </c>
      <c r="E54" s="271" t="e">
        <f t="shared" ref="E54:M54" si="18">C54-B54</f>
        <v>#REF!</v>
      </c>
      <c r="F54" s="271" t="e">
        <f t="shared" si="18"/>
        <v>#REF!</v>
      </c>
      <c r="G54" s="271" t="e">
        <f t="shared" si="18"/>
        <v>#REF!</v>
      </c>
      <c r="H54" s="271" t="e">
        <f t="shared" si="18"/>
        <v>#REF!</v>
      </c>
      <c r="I54" s="271" t="e">
        <f t="shared" si="18"/>
        <v>#REF!</v>
      </c>
      <c r="J54" s="271" t="e">
        <f t="shared" si="18"/>
        <v>#REF!</v>
      </c>
      <c r="K54" s="271" t="e">
        <f t="shared" si="18"/>
        <v>#REF!</v>
      </c>
      <c r="L54" s="271" t="e">
        <f t="shared" si="18"/>
        <v>#REF!</v>
      </c>
      <c r="M54" s="654" t="e">
        <f t="shared" si="18"/>
        <v>#REF!</v>
      </c>
      <c r="N54" s="468"/>
      <c r="O54" s="780"/>
      <c r="P54" s="398" t="e">
        <f>O54-#REF!</f>
        <v>#REF!</v>
      </c>
      <c r="Q54" s="503"/>
    </row>
    <row r="55" spans="1:17" s="267" customFormat="1" ht="13" hidden="1">
      <c r="A55" s="425" t="s">
        <v>174</v>
      </c>
      <c r="B55" s="278">
        <f>0</f>
        <v>0</v>
      </c>
      <c r="C55" s="271">
        <f>0</f>
        <v>0</v>
      </c>
      <c r="D55" s="271">
        <f>0</f>
        <v>0</v>
      </c>
      <c r="E55" s="271">
        <f>0</f>
        <v>0</v>
      </c>
      <c r="F55" s="271">
        <f>0</f>
        <v>0</v>
      </c>
      <c r="G55" s="271">
        <f>0</f>
        <v>0</v>
      </c>
      <c r="H55" s="271">
        <f>0</f>
        <v>0</v>
      </c>
      <c r="I55" s="271">
        <f>0</f>
        <v>0</v>
      </c>
      <c r="J55" s="271">
        <f>0</f>
        <v>0</v>
      </c>
      <c r="K55" s="271">
        <v>0</v>
      </c>
      <c r="L55" s="271">
        <f>0</f>
        <v>0</v>
      </c>
      <c r="M55" s="654">
        <f>0</f>
        <v>0</v>
      </c>
      <c r="N55" s="468"/>
      <c r="O55" s="780"/>
      <c r="P55" s="398" t="e">
        <f>O55-#REF!</f>
        <v>#REF!</v>
      </c>
      <c r="Q55" s="503"/>
    </row>
    <row r="56" spans="1:17" s="267" customFormat="1" ht="13" hidden="1">
      <c r="A56" s="424" t="s">
        <v>175</v>
      </c>
      <c r="B56" s="278" t="e">
        <f>SUM(B54:B55)</f>
        <v>#REF!</v>
      </c>
      <c r="C56" s="271" t="e">
        <f t="shared" ref="C56:M56" si="19">SUM(C54:C55)</f>
        <v>#REF!</v>
      </c>
      <c r="D56" s="271" t="e">
        <f t="shared" si="19"/>
        <v>#REF!</v>
      </c>
      <c r="E56" s="271" t="e">
        <f t="shared" si="19"/>
        <v>#REF!</v>
      </c>
      <c r="F56" s="271" t="e">
        <f t="shared" si="19"/>
        <v>#REF!</v>
      </c>
      <c r="G56" s="271" t="e">
        <f t="shared" si="19"/>
        <v>#REF!</v>
      </c>
      <c r="H56" s="271" t="e">
        <f t="shared" si="19"/>
        <v>#REF!</v>
      </c>
      <c r="I56" s="271" t="e">
        <f t="shared" si="19"/>
        <v>#REF!</v>
      </c>
      <c r="J56" s="271" t="e">
        <f t="shared" si="19"/>
        <v>#REF!</v>
      </c>
      <c r="K56" s="271" t="e">
        <f t="shared" si="19"/>
        <v>#REF!</v>
      </c>
      <c r="L56" s="271" t="e">
        <f t="shared" si="19"/>
        <v>#REF!</v>
      </c>
      <c r="M56" s="654" t="e">
        <f t="shared" si="19"/>
        <v>#REF!</v>
      </c>
      <c r="N56" s="468"/>
      <c r="O56" s="780"/>
      <c r="P56" s="398" t="e">
        <f>O56-#REF!</f>
        <v>#REF!</v>
      </c>
      <c r="Q56" s="503"/>
    </row>
    <row r="57" spans="1:17" s="267" customFormat="1" ht="6" customHeight="1">
      <c r="A57" s="419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656"/>
      <c r="N57" s="468"/>
      <c r="O57" s="780"/>
      <c r="P57" s="398"/>
      <c r="Q57" s="500"/>
    </row>
    <row r="58" spans="1:17" s="267" customFormat="1" ht="13">
      <c r="A58" s="419" t="s">
        <v>719</v>
      </c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654"/>
      <c r="N58" s="468"/>
      <c r="O58" s="780"/>
      <c r="P58" s="398"/>
      <c r="Q58" s="500"/>
    </row>
    <row r="59" spans="1:17" s="267" customFormat="1" ht="13">
      <c r="A59" s="420" t="s">
        <v>720</v>
      </c>
      <c r="B59" s="382">
        <v>0</v>
      </c>
      <c r="C59" s="382">
        <v>0</v>
      </c>
      <c r="D59" s="382">
        <v>0</v>
      </c>
      <c r="E59" s="382">
        <v>0</v>
      </c>
      <c r="F59" s="382">
        <v>0</v>
      </c>
      <c r="G59" s="382">
        <v>0</v>
      </c>
      <c r="H59" s="382">
        <v>0</v>
      </c>
      <c r="I59" s="382">
        <v>0</v>
      </c>
      <c r="J59" s="382">
        <v>0</v>
      </c>
      <c r="K59" s="382">
        <v>0</v>
      </c>
      <c r="L59" s="382">
        <v>0</v>
      </c>
      <c r="M59" s="661">
        <v>0</v>
      </c>
      <c r="N59" s="645">
        <f t="shared" ref="N59:N61" si="20">SUM(B59:M59)</f>
        <v>0</v>
      </c>
      <c r="O59" s="780">
        <v>0</v>
      </c>
      <c r="P59" s="398">
        <f>O59-N59</f>
        <v>0</v>
      </c>
      <c r="Q59" s="500"/>
    </row>
    <row r="60" spans="1:17" s="267" customFormat="1" ht="13">
      <c r="A60" s="420" t="s">
        <v>721</v>
      </c>
      <c r="B60" s="278">
        <v>0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78">
        <v>0</v>
      </c>
      <c r="I60" s="278">
        <v>0</v>
      </c>
      <c r="J60" s="278">
        <v>0</v>
      </c>
      <c r="K60" s="278">
        <v>0</v>
      </c>
      <c r="L60" s="278">
        <v>0</v>
      </c>
      <c r="M60" s="654">
        <v>0</v>
      </c>
      <c r="N60" s="468">
        <f t="shared" si="20"/>
        <v>0</v>
      </c>
      <c r="O60" s="780">
        <v>0</v>
      </c>
      <c r="P60" s="398">
        <f>O60-N60</f>
        <v>0</v>
      </c>
      <c r="Q60" s="500"/>
    </row>
    <row r="61" spans="1:17" s="267" customFormat="1" ht="13">
      <c r="A61" s="420" t="s">
        <v>722</v>
      </c>
      <c r="B61" s="278">
        <v>0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78">
        <v>0</v>
      </c>
      <c r="I61" s="278">
        <v>0</v>
      </c>
      <c r="J61" s="278">
        <v>0</v>
      </c>
      <c r="K61" s="278">
        <v>0</v>
      </c>
      <c r="L61" s="278">
        <v>0</v>
      </c>
      <c r="M61" s="654">
        <v>0</v>
      </c>
      <c r="N61" s="468">
        <f t="shared" si="20"/>
        <v>0</v>
      </c>
      <c r="O61" s="780">
        <v>0</v>
      </c>
      <c r="P61" s="398">
        <f>O61-N61</f>
        <v>0</v>
      </c>
      <c r="Q61" s="500"/>
    </row>
    <row r="62" spans="1:17" s="267" customFormat="1" ht="13">
      <c r="A62" s="419" t="s">
        <v>693</v>
      </c>
      <c r="B62" s="761">
        <f t="shared" ref="B62:M62" si="21">SUM(B59:B61)</f>
        <v>0</v>
      </c>
      <c r="C62" s="277">
        <f t="shared" si="21"/>
        <v>0</v>
      </c>
      <c r="D62" s="276">
        <f t="shared" si="21"/>
        <v>0</v>
      </c>
      <c r="E62" s="276">
        <f t="shared" si="21"/>
        <v>0</v>
      </c>
      <c r="F62" s="276">
        <f t="shared" si="21"/>
        <v>0</v>
      </c>
      <c r="G62" s="276">
        <f t="shared" si="21"/>
        <v>0</v>
      </c>
      <c r="H62" s="276">
        <f t="shared" si="21"/>
        <v>0</v>
      </c>
      <c r="I62" s="276">
        <f t="shared" si="21"/>
        <v>0</v>
      </c>
      <c r="J62" s="276">
        <f t="shared" si="21"/>
        <v>0</v>
      </c>
      <c r="K62" s="276">
        <f t="shared" si="21"/>
        <v>0</v>
      </c>
      <c r="L62" s="276">
        <f t="shared" si="21"/>
        <v>0</v>
      </c>
      <c r="M62" s="655">
        <f t="shared" si="21"/>
        <v>0</v>
      </c>
      <c r="N62" s="641">
        <f>SUM(B62:M62)</f>
        <v>0</v>
      </c>
      <c r="O62" s="782">
        <f>SUM(O57:O61)</f>
        <v>0</v>
      </c>
      <c r="P62" s="762">
        <f>SUM(P59:P61)</f>
        <v>0</v>
      </c>
      <c r="Q62" s="500"/>
    </row>
    <row r="63" spans="1:17" s="267" customFormat="1" ht="6" customHeight="1">
      <c r="A63" s="419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656"/>
      <c r="N63" s="468"/>
      <c r="O63" s="780"/>
      <c r="P63" s="398"/>
      <c r="Q63" s="500"/>
    </row>
    <row r="64" spans="1:17" s="267" customFormat="1" ht="14.5" customHeight="1">
      <c r="A64" s="419" t="s">
        <v>723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656"/>
      <c r="N64" s="468"/>
      <c r="O64" s="780"/>
      <c r="P64" s="398"/>
      <c r="Q64" s="500"/>
    </row>
    <row r="65" spans="1:17" s="267" customFormat="1" ht="13">
      <c r="A65" s="420" t="s">
        <v>690</v>
      </c>
      <c r="B65" s="278">
        <v>10000</v>
      </c>
      <c r="C65" s="278">
        <v>10000</v>
      </c>
      <c r="D65" s="278">
        <v>10000</v>
      </c>
      <c r="E65" s="278">
        <v>10000</v>
      </c>
      <c r="F65" s="278">
        <v>10000</v>
      </c>
      <c r="G65" s="278">
        <v>10000</v>
      </c>
      <c r="H65" s="278">
        <v>10000</v>
      </c>
      <c r="I65" s="278">
        <v>10000</v>
      </c>
      <c r="J65" s="278">
        <v>10000</v>
      </c>
      <c r="K65" s="278">
        <v>10000</v>
      </c>
      <c r="L65" s="278">
        <v>10000</v>
      </c>
      <c r="M65" s="654">
        <v>10000</v>
      </c>
      <c r="N65" s="468">
        <f>SUM(B65:M65)</f>
        <v>120000</v>
      </c>
      <c r="O65" s="780">
        <v>120000</v>
      </c>
      <c r="P65" s="398">
        <f>O65-N65</f>
        <v>0</v>
      </c>
      <c r="Q65" s="500"/>
    </row>
    <row r="66" spans="1:17" s="267" customFormat="1" ht="13">
      <c r="A66" s="420" t="s">
        <v>691</v>
      </c>
      <c r="B66" s="278">
        <v>5000</v>
      </c>
      <c r="C66" s="278">
        <v>5000</v>
      </c>
      <c r="D66" s="278">
        <v>5000</v>
      </c>
      <c r="E66" s="278">
        <v>5000</v>
      </c>
      <c r="F66" s="278">
        <v>5000</v>
      </c>
      <c r="G66" s="278">
        <v>5000</v>
      </c>
      <c r="H66" s="278">
        <v>5000</v>
      </c>
      <c r="I66" s="278">
        <v>5000</v>
      </c>
      <c r="J66" s="278">
        <v>5000</v>
      </c>
      <c r="K66" s="278">
        <v>5000</v>
      </c>
      <c r="L66" s="278">
        <v>5000</v>
      </c>
      <c r="M66" s="654">
        <v>5000</v>
      </c>
      <c r="N66" s="468">
        <f t="shared" ref="N66:N69" si="22">SUM(B66:M66)</f>
        <v>60000</v>
      </c>
      <c r="O66" s="780">
        <v>60000</v>
      </c>
      <c r="P66" s="398">
        <f t="shared" ref="P66:P69" si="23">O66-N66</f>
        <v>0</v>
      </c>
      <c r="Q66" s="500"/>
    </row>
    <row r="67" spans="1:17" s="267" customFormat="1" ht="13">
      <c r="A67" s="420" t="s">
        <v>692</v>
      </c>
      <c r="B67" s="278">
        <v>3000</v>
      </c>
      <c r="C67" s="278">
        <v>3000</v>
      </c>
      <c r="D67" s="278">
        <v>3000</v>
      </c>
      <c r="E67" s="278">
        <v>3000</v>
      </c>
      <c r="F67" s="278">
        <v>3000</v>
      </c>
      <c r="G67" s="278">
        <v>3000</v>
      </c>
      <c r="H67" s="278">
        <v>3000</v>
      </c>
      <c r="I67" s="278">
        <v>3000</v>
      </c>
      <c r="J67" s="278">
        <v>3000</v>
      </c>
      <c r="K67" s="278">
        <v>3000</v>
      </c>
      <c r="L67" s="278">
        <v>3000</v>
      </c>
      <c r="M67" s="654">
        <v>3000</v>
      </c>
      <c r="N67" s="468">
        <f t="shared" si="22"/>
        <v>36000</v>
      </c>
      <c r="O67" s="780">
        <v>36000</v>
      </c>
      <c r="P67" s="398">
        <f t="shared" si="23"/>
        <v>0</v>
      </c>
      <c r="Q67" s="507"/>
    </row>
    <row r="68" spans="1:17" s="267" customFormat="1" ht="13">
      <c r="A68" s="420" t="s">
        <v>210</v>
      </c>
      <c r="B68" s="278">
        <v>500</v>
      </c>
      <c r="C68" s="271">
        <v>500</v>
      </c>
      <c r="D68" s="271">
        <v>500</v>
      </c>
      <c r="E68" s="271">
        <v>500</v>
      </c>
      <c r="F68" s="271">
        <v>500</v>
      </c>
      <c r="G68" s="271">
        <v>500</v>
      </c>
      <c r="H68" s="271">
        <v>500</v>
      </c>
      <c r="I68" s="271">
        <v>500</v>
      </c>
      <c r="J68" s="271">
        <v>500</v>
      </c>
      <c r="K68" s="271">
        <v>500</v>
      </c>
      <c r="L68" s="271">
        <v>500</v>
      </c>
      <c r="M68" s="654">
        <v>500</v>
      </c>
      <c r="N68" s="468">
        <f t="shared" si="22"/>
        <v>6000</v>
      </c>
      <c r="O68" s="785">
        <v>6000</v>
      </c>
      <c r="P68" s="398">
        <f t="shared" si="23"/>
        <v>0</v>
      </c>
      <c r="Q68" s="500"/>
    </row>
    <row r="69" spans="1:17" s="267" customFormat="1" ht="13">
      <c r="A69" s="420" t="s">
        <v>213</v>
      </c>
      <c r="B69" s="278">
        <v>1500</v>
      </c>
      <c r="C69" s="271">
        <v>1500</v>
      </c>
      <c r="D69" s="271">
        <v>1500</v>
      </c>
      <c r="E69" s="271">
        <v>1500</v>
      </c>
      <c r="F69" s="271">
        <v>1500</v>
      </c>
      <c r="G69" s="271">
        <v>1500</v>
      </c>
      <c r="H69" s="271">
        <v>1500</v>
      </c>
      <c r="I69" s="271">
        <v>1500</v>
      </c>
      <c r="J69" s="271">
        <v>1500</v>
      </c>
      <c r="K69" s="271">
        <v>1500</v>
      </c>
      <c r="L69" s="271">
        <v>1500</v>
      </c>
      <c r="M69" s="654">
        <v>1500</v>
      </c>
      <c r="N69" s="468">
        <f t="shared" si="22"/>
        <v>18000</v>
      </c>
      <c r="O69" s="785">
        <v>18000</v>
      </c>
      <c r="P69" s="398">
        <f t="shared" si="23"/>
        <v>0</v>
      </c>
      <c r="Q69" s="500"/>
    </row>
    <row r="70" spans="1:17" s="267" customFormat="1" ht="13">
      <c r="A70" s="419" t="s">
        <v>214</v>
      </c>
      <c r="B70" s="761">
        <f t="shared" ref="B70:M70" si="24">SUM(B65:B69)</f>
        <v>20000</v>
      </c>
      <c r="C70" s="276">
        <f t="shared" si="24"/>
        <v>20000</v>
      </c>
      <c r="D70" s="276">
        <f t="shared" si="24"/>
        <v>20000</v>
      </c>
      <c r="E70" s="276">
        <f t="shared" si="24"/>
        <v>20000</v>
      </c>
      <c r="F70" s="276">
        <f t="shared" si="24"/>
        <v>20000</v>
      </c>
      <c r="G70" s="276">
        <f t="shared" si="24"/>
        <v>20000</v>
      </c>
      <c r="H70" s="276">
        <f t="shared" si="24"/>
        <v>20000</v>
      </c>
      <c r="I70" s="276">
        <f t="shared" si="24"/>
        <v>20000</v>
      </c>
      <c r="J70" s="276">
        <f t="shared" si="24"/>
        <v>20000</v>
      </c>
      <c r="K70" s="276">
        <f t="shared" si="24"/>
        <v>20000</v>
      </c>
      <c r="L70" s="276">
        <f t="shared" si="24"/>
        <v>20000</v>
      </c>
      <c r="M70" s="655">
        <f t="shared" si="24"/>
        <v>20000</v>
      </c>
      <c r="N70" s="641">
        <f>SUM(B70:M70)</f>
        <v>240000</v>
      </c>
      <c r="O70" s="782">
        <f>SUM(O65:O69)</f>
        <v>240000</v>
      </c>
      <c r="P70" s="762">
        <f>SUM(P65:P69)</f>
        <v>0</v>
      </c>
      <c r="Q70" s="507"/>
    </row>
    <row r="71" spans="1:17" s="267" customFormat="1" ht="6" customHeight="1" thickBot="1">
      <c r="A71" s="419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656"/>
      <c r="N71" s="468"/>
      <c r="O71" s="780"/>
      <c r="P71" s="398"/>
      <c r="Q71" s="500"/>
    </row>
    <row r="72" spans="1:17" s="368" customFormat="1" ht="14" thickTop="1">
      <c r="A72" s="445" t="s">
        <v>107</v>
      </c>
      <c r="B72" s="754">
        <f>B70+B62+B51+B45+B37</f>
        <v>36400</v>
      </c>
      <c r="C72" s="752">
        <f>C70+C62+C51+C45+C37</f>
        <v>27800</v>
      </c>
      <c r="D72" s="752">
        <f t="shared" ref="D72:L72" si="25">D70+D62+D51+D45+D37</f>
        <v>24795</v>
      </c>
      <c r="E72" s="752">
        <f t="shared" si="25"/>
        <v>27800</v>
      </c>
      <c r="F72" s="752">
        <f t="shared" si="25"/>
        <v>26750</v>
      </c>
      <c r="G72" s="752">
        <f t="shared" si="25"/>
        <v>26900</v>
      </c>
      <c r="H72" s="752">
        <f t="shared" si="25"/>
        <v>27750</v>
      </c>
      <c r="I72" s="752">
        <f t="shared" si="25"/>
        <v>28750</v>
      </c>
      <c r="J72" s="752">
        <f t="shared" si="25"/>
        <v>28700</v>
      </c>
      <c r="K72" s="752">
        <f t="shared" si="25"/>
        <v>30500</v>
      </c>
      <c r="L72" s="752">
        <f t="shared" si="25"/>
        <v>30250</v>
      </c>
      <c r="M72" s="753">
        <f>M70+M62+M51+M45+M37</f>
        <v>28900</v>
      </c>
      <c r="N72" s="777">
        <f>N70+N62+N51+N45+N37</f>
        <v>345295</v>
      </c>
      <c r="O72" s="787">
        <f>O70+O62+O51+O45+O37</f>
        <v>345295</v>
      </c>
      <c r="P72" s="759">
        <f>P70+P62+P51+P45+P37</f>
        <v>0</v>
      </c>
      <c r="Q72" s="508"/>
    </row>
    <row r="73" spans="1:17" s="368" customFormat="1" ht="13" thickBot="1">
      <c r="A73" s="419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662"/>
      <c r="N73" s="468"/>
      <c r="O73" s="780"/>
      <c r="P73" s="764"/>
      <c r="Q73" s="502"/>
    </row>
    <row r="74" spans="1:17" s="267" customFormat="1" ht="14" thickBot="1">
      <c r="A74" s="459" t="s">
        <v>108</v>
      </c>
      <c r="B74" s="755">
        <f t="shared" ref="B74:O74" si="26">B26-B72</f>
        <v>11200</v>
      </c>
      <c r="C74" s="755">
        <f t="shared" si="26"/>
        <v>-8950</v>
      </c>
      <c r="D74" s="755">
        <f t="shared" si="26"/>
        <v>-10945</v>
      </c>
      <c r="E74" s="755">
        <f t="shared" si="26"/>
        <v>1050</v>
      </c>
      <c r="F74" s="755">
        <f t="shared" si="26"/>
        <v>-12900</v>
      </c>
      <c r="G74" s="755">
        <f t="shared" si="26"/>
        <v>-1800</v>
      </c>
      <c r="H74" s="755">
        <f t="shared" si="26"/>
        <v>-13900</v>
      </c>
      <c r="I74" s="755">
        <f t="shared" si="26"/>
        <v>-14900</v>
      </c>
      <c r="J74" s="755">
        <f t="shared" si="26"/>
        <v>42150</v>
      </c>
      <c r="K74" s="755">
        <f t="shared" si="26"/>
        <v>350</v>
      </c>
      <c r="L74" s="755">
        <f t="shared" si="26"/>
        <v>23600</v>
      </c>
      <c r="M74" s="756">
        <f t="shared" si="26"/>
        <v>27450</v>
      </c>
      <c r="N74" s="765">
        <f t="shared" si="26"/>
        <v>42405</v>
      </c>
      <c r="O74" s="788">
        <f t="shared" si="26"/>
        <v>42405</v>
      </c>
      <c r="P74" s="766">
        <f>P72+P26</f>
        <v>0</v>
      </c>
      <c r="Q74" s="509"/>
    </row>
    <row r="75" spans="1:17" s="267" customFormat="1" ht="12">
      <c r="A75" s="420"/>
      <c r="B75" s="413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653"/>
      <c r="N75" s="468"/>
      <c r="O75" s="780"/>
      <c r="P75" s="394"/>
      <c r="Q75" s="500"/>
    </row>
    <row r="76" spans="1:17" s="285" customFormat="1" ht="12">
      <c r="A76" s="427" t="s">
        <v>215</v>
      </c>
      <c r="B76" s="286">
        <v>0</v>
      </c>
      <c r="C76" s="813">
        <f t="shared" ref="C76:M76" si="27">B78</f>
        <v>11200</v>
      </c>
      <c r="D76" s="814">
        <f t="shared" si="27"/>
        <v>2250</v>
      </c>
      <c r="E76" s="813">
        <f t="shared" si="27"/>
        <v>-8695</v>
      </c>
      <c r="F76" s="813">
        <f t="shared" si="27"/>
        <v>-7645</v>
      </c>
      <c r="G76" s="813">
        <f t="shared" si="27"/>
        <v>-20545</v>
      </c>
      <c r="H76" s="813">
        <f t="shared" si="27"/>
        <v>-22345</v>
      </c>
      <c r="I76" s="813">
        <f t="shared" si="27"/>
        <v>-36245</v>
      </c>
      <c r="J76" s="813">
        <f t="shared" si="27"/>
        <v>-51145</v>
      </c>
      <c r="K76" s="813">
        <f t="shared" si="27"/>
        <v>-8995</v>
      </c>
      <c r="L76" s="813">
        <f t="shared" si="27"/>
        <v>-8645</v>
      </c>
      <c r="M76" s="815">
        <f t="shared" si="27"/>
        <v>14955</v>
      </c>
      <c r="N76" s="468"/>
      <c r="O76" s="780"/>
      <c r="P76" s="394"/>
      <c r="Q76" s="510"/>
    </row>
    <row r="77" spans="1:17" s="267" customFormat="1" ht="12">
      <c r="A77" s="421"/>
      <c r="B77" s="414"/>
      <c r="C77" s="273"/>
      <c r="D77" s="371"/>
      <c r="E77" s="273"/>
      <c r="F77" s="273"/>
      <c r="G77" s="273"/>
      <c r="H77" s="273"/>
      <c r="I77" s="273"/>
      <c r="J77" s="273"/>
      <c r="K77" s="273"/>
      <c r="L77" s="273"/>
      <c r="M77" s="657"/>
      <c r="N77" s="468"/>
      <c r="O77" s="780"/>
      <c r="P77" s="394"/>
      <c r="Q77" s="500"/>
    </row>
    <row r="78" spans="1:17" s="368" customFormat="1" ht="13" thickBot="1">
      <c r="A78" s="772" t="s">
        <v>216</v>
      </c>
      <c r="B78" s="774">
        <f>B74+B76</f>
        <v>11200</v>
      </c>
      <c r="C78" s="774">
        <f t="shared" ref="C78:M78" si="28">C74+C76</f>
        <v>2250</v>
      </c>
      <c r="D78" s="775">
        <f t="shared" si="28"/>
        <v>-8695</v>
      </c>
      <c r="E78" s="774">
        <f t="shared" si="28"/>
        <v>-7645</v>
      </c>
      <c r="F78" s="774">
        <f t="shared" si="28"/>
        <v>-20545</v>
      </c>
      <c r="G78" s="774">
        <f t="shared" si="28"/>
        <v>-22345</v>
      </c>
      <c r="H78" s="774">
        <f t="shared" si="28"/>
        <v>-36245</v>
      </c>
      <c r="I78" s="774">
        <f t="shared" si="28"/>
        <v>-51145</v>
      </c>
      <c r="J78" s="774">
        <f t="shared" si="28"/>
        <v>-8995</v>
      </c>
      <c r="K78" s="774">
        <f t="shared" si="28"/>
        <v>-8645</v>
      </c>
      <c r="L78" s="774">
        <f t="shared" si="28"/>
        <v>14955</v>
      </c>
      <c r="M78" s="776">
        <f t="shared" si="28"/>
        <v>42405</v>
      </c>
      <c r="N78" s="468"/>
      <c r="O78" s="780"/>
      <c r="P78" s="394"/>
      <c r="Q78" s="502"/>
    </row>
    <row r="79" spans="1:17" s="368" customFormat="1" ht="12">
      <c r="A79" s="427"/>
      <c r="B79" s="287"/>
      <c r="C79" s="275"/>
      <c r="D79" s="371"/>
      <c r="E79" s="275"/>
      <c r="F79" s="275"/>
      <c r="G79" s="275"/>
      <c r="H79" s="275"/>
      <c r="I79" s="275"/>
      <c r="J79" s="275"/>
      <c r="K79" s="275"/>
      <c r="L79" s="275"/>
      <c r="M79" s="664"/>
      <c r="N79" s="468"/>
      <c r="O79" s="780"/>
      <c r="P79" s="394"/>
      <c r="Q79" s="502"/>
    </row>
    <row r="80" spans="1:17" s="267" customFormat="1" ht="27" thickBot="1">
      <c r="A80" s="773" t="s">
        <v>217</v>
      </c>
      <c r="B80" s="816">
        <v>75000</v>
      </c>
      <c r="C80" s="816">
        <v>86200</v>
      </c>
      <c r="D80" s="817">
        <v>77250</v>
      </c>
      <c r="E80" s="816">
        <v>66305</v>
      </c>
      <c r="F80" s="816">
        <v>67355</v>
      </c>
      <c r="G80" s="816">
        <v>54455</v>
      </c>
      <c r="H80" s="816">
        <v>52655</v>
      </c>
      <c r="I80" s="816">
        <v>38755</v>
      </c>
      <c r="J80" s="816">
        <v>23855</v>
      </c>
      <c r="K80" s="816">
        <v>66005</v>
      </c>
      <c r="L80" s="816">
        <v>66355</v>
      </c>
      <c r="M80" s="818">
        <v>89955</v>
      </c>
      <c r="N80" s="649"/>
      <c r="O80" s="789"/>
      <c r="P80" s="394"/>
      <c r="Q80" s="500"/>
    </row>
    <row r="82" spans="2:3" ht="19">
      <c r="B82" s="819" t="s">
        <v>732</v>
      </c>
    </row>
    <row r="83" spans="2:3" ht="19">
      <c r="B83" s="819" t="s">
        <v>733</v>
      </c>
      <c r="C83" s="819"/>
    </row>
    <row r="85" spans="2:3" ht="19">
      <c r="B85" s="819" t="s">
        <v>725</v>
      </c>
    </row>
    <row r="86" spans="2:3" ht="19">
      <c r="B86" s="819" t="s">
        <v>726</v>
      </c>
    </row>
    <row r="87" spans="2:3" ht="19">
      <c r="B87" s="819" t="s">
        <v>727</v>
      </c>
    </row>
    <row r="88" spans="2:3" ht="19">
      <c r="B88" s="819" t="s">
        <v>728</v>
      </c>
    </row>
    <row r="89" spans="2:3" ht="19">
      <c r="B89" s="819" t="s">
        <v>729</v>
      </c>
    </row>
    <row r="90" spans="2:3" ht="19">
      <c r="B90" s="819" t="s">
        <v>730</v>
      </c>
    </row>
    <row r="91" spans="2:3" ht="19">
      <c r="B91" s="819" t="s">
        <v>731</v>
      </c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88E5-4D7D-C147-A5BB-E13B8179F0A1}">
  <dimension ref="A1:AO145"/>
  <sheetViews>
    <sheetView zoomScale="170" zoomScaleNormal="170" zoomScalePageLayoutView="150" workbookViewId="0">
      <pane xSplit="1" ySplit="3" topLeftCell="B4" activePane="bottomRight" state="frozen"/>
      <selection pane="topRight" activeCell="AW1" sqref="AW1"/>
      <selection pane="bottomLeft" activeCell="A4" sqref="A4"/>
      <selection pane="bottomRight" activeCell="L75" sqref="L75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668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6" style="133" customWidth="1"/>
    <col min="19" max="19" width="15.1640625" style="394" customWidth="1"/>
    <col min="20" max="20" width="20.6640625" style="512" customWidth="1"/>
    <col min="21" max="16384" width="8.83203125" style="121"/>
  </cols>
  <sheetData>
    <row r="1" spans="1:20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650"/>
      <c r="T1" s="501"/>
    </row>
    <row r="2" spans="1:20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T2" s="501"/>
    </row>
    <row r="3" spans="1:20" s="638" customFormat="1" ht="2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640" t="s">
        <v>112</v>
      </c>
      <c r="O3" s="636" t="s">
        <v>113</v>
      </c>
      <c r="P3" s="637" t="s">
        <v>114</v>
      </c>
      <c r="Q3" s="637" t="s">
        <v>115</v>
      </c>
      <c r="R3" s="637" t="s">
        <v>228</v>
      </c>
      <c r="S3" s="433" t="s">
        <v>239</v>
      </c>
      <c r="T3" s="490"/>
    </row>
    <row r="4" spans="1:20" s="267" customFormat="1" ht="13">
      <c r="A4" s="419" t="s">
        <v>9</v>
      </c>
      <c r="B4" s="712"/>
      <c r="C4" s="731"/>
      <c r="D4" s="270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397"/>
      <c r="P4" s="133"/>
      <c r="Q4" s="133"/>
      <c r="R4" s="133"/>
      <c r="S4" s="398">
        <f>O4-R4</f>
        <v>0</v>
      </c>
      <c r="T4" s="500"/>
    </row>
    <row r="5" spans="1:20" s="267" customFormat="1" ht="13">
      <c r="A5" s="419" t="s">
        <v>10</v>
      </c>
      <c r="B5" s="713"/>
      <c r="C5" s="732"/>
      <c r="D5" s="271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397"/>
      <c r="P5" s="271"/>
      <c r="Q5" s="133"/>
      <c r="R5" s="133"/>
      <c r="S5" s="398">
        <f t="shared" ref="S5:S69" si="0">O5-R5</f>
        <v>0</v>
      </c>
      <c r="T5" s="500"/>
    </row>
    <row r="6" spans="1:20" s="267" customFormat="1" ht="13">
      <c r="A6" s="420" t="s">
        <v>11</v>
      </c>
      <c r="B6" s="713">
        <v>20000</v>
      </c>
      <c r="C6" s="732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1" si="1">SUM(B6:M6)</f>
        <v>20000</v>
      </c>
      <c r="O6" s="397">
        <v>0</v>
      </c>
      <c r="P6" s="271">
        <v>0</v>
      </c>
      <c r="Q6" s="274">
        <f>N6-P6</f>
        <v>20000</v>
      </c>
      <c r="R6" s="397">
        <v>0</v>
      </c>
      <c r="S6" s="398">
        <f t="shared" si="0"/>
        <v>0</v>
      </c>
      <c r="T6" s="500"/>
    </row>
    <row r="7" spans="1:20" s="267" customFormat="1" ht="13">
      <c r="A7" s="420" t="s">
        <v>118</v>
      </c>
      <c r="B7" s="713">
        <v>0</v>
      </c>
      <c r="C7" s="713">
        <v>0</v>
      </c>
      <c r="D7" s="678">
        <v>0</v>
      </c>
      <c r="E7" s="678">
        <v>0</v>
      </c>
      <c r="F7" s="679">
        <v>10000</v>
      </c>
      <c r="G7" s="679">
        <v>0</v>
      </c>
      <c r="H7" s="679">
        <v>1100</v>
      </c>
      <c r="I7" s="679">
        <v>600</v>
      </c>
      <c r="J7" s="679">
        <v>600</v>
      </c>
      <c r="K7" s="679">
        <v>0</v>
      </c>
      <c r="L7" s="679">
        <v>0</v>
      </c>
      <c r="M7" s="680">
        <v>0</v>
      </c>
      <c r="N7" s="468">
        <f t="shared" si="1"/>
        <v>12300</v>
      </c>
      <c r="O7" s="397">
        <v>12300</v>
      </c>
      <c r="P7" s="271"/>
      <c r="Q7" s="274">
        <f t="shared" ref="Q7:Q23" si="2">N7-P7</f>
        <v>12300</v>
      </c>
      <c r="R7" s="397">
        <v>47000</v>
      </c>
      <c r="S7" s="398">
        <f t="shared" si="0"/>
        <v>-34700</v>
      </c>
      <c r="T7" s="500"/>
    </row>
    <row r="8" spans="1:20" s="267" customFormat="1" ht="13">
      <c r="A8" s="420" t="s">
        <v>13</v>
      </c>
      <c r="B8" s="713">
        <v>0</v>
      </c>
      <c r="C8" s="732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654">
        <v>0</v>
      </c>
      <c r="N8" s="468">
        <f t="shared" si="1"/>
        <v>0</v>
      </c>
      <c r="O8" s="397">
        <v>0</v>
      </c>
      <c r="P8" s="271">
        <v>5000</v>
      </c>
      <c r="Q8" s="274">
        <f t="shared" si="2"/>
        <v>-5000</v>
      </c>
      <c r="R8" s="397">
        <v>0</v>
      </c>
      <c r="S8" s="398">
        <f t="shared" si="0"/>
        <v>0</v>
      </c>
      <c r="T8" s="500"/>
    </row>
    <row r="9" spans="1:20" s="267" customFormat="1" ht="12">
      <c r="A9" s="421" t="s">
        <v>119</v>
      </c>
      <c r="B9" s="713">
        <v>14250</v>
      </c>
      <c r="C9" s="732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654">
        <v>3750</v>
      </c>
      <c r="N9" s="468">
        <f t="shared" si="1"/>
        <v>48000</v>
      </c>
      <c r="O9" s="399">
        <v>40000</v>
      </c>
      <c r="P9" s="271">
        <v>77000</v>
      </c>
      <c r="Q9" s="274">
        <f t="shared" si="2"/>
        <v>-29000</v>
      </c>
      <c r="R9" s="399">
        <v>40000</v>
      </c>
      <c r="S9" s="398">
        <f t="shared" si="0"/>
        <v>0</v>
      </c>
      <c r="T9" s="500"/>
    </row>
    <row r="10" spans="1:20" s="267" customFormat="1" ht="15" customHeight="1">
      <c r="A10" s="420" t="s">
        <v>121</v>
      </c>
      <c r="B10" s="713">
        <v>21123.75</v>
      </c>
      <c r="C10" s="732">
        <v>8503.81</v>
      </c>
      <c r="D10" s="271">
        <v>24400</v>
      </c>
      <c r="E10" s="271">
        <v>6600</v>
      </c>
      <c r="F10" s="271">
        <v>8700</v>
      </c>
      <c r="G10" s="271">
        <v>7900</v>
      </c>
      <c r="H10" s="271">
        <v>5500</v>
      </c>
      <c r="I10" s="748">
        <v>35000</v>
      </c>
      <c r="J10" s="271">
        <v>3800</v>
      </c>
      <c r="K10" s="748">
        <v>100000</v>
      </c>
      <c r="L10" s="271">
        <v>15000</v>
      </c>
      <c r="M10" s="654">
        <v>35000</v>
      </c>
      <c r="N10" s="468">
        <f t="shared" si="1"/>
        <v>271527.56</v>
      </c>
      <c r="O10" s="397">
        <v>236600</v>
      </c>
      <c r="P10" s="271">
        <v>697365.77</v>
      </c>
      <c r="Q10" s="274">
        <f t="shared" si="2"/>
        <v>-425838.21</v>
      </c>
      <c r="R10" s="397">
        <v>236600</v>
      </c>
      <c r="S10" s="398">
        <f t="shared" si="0"/>
        <v>0</v>
      </c>
      <c r="T10" s="500"/>
    </row>
    <row r="11" spans="1:20" s="267" customFormat="1" ht="13">
      <c r="A11" s="437" t="s">
        <v>19</v>
      </c>
      <c r="B11" s="714">
        <f t="shared" ref="B11:M11" si="3">SUM(B6:B10)</f>
        <v>55373.75</v>
      </c>
      <c r="C11" s="714">
        <f t="shared" si="3"/>
        <v>9753.81</v>
      </c>
      <c r="D11" s="276">
        <f t="shared" si="3"/>
        <v>26900</v>
      </c>
      <c r="E11" s="276">
        <f t="shared" si="3"/>
        <v>7850</v>
      </c>
      <c r="F11" s="276">
        <f t="shared" si="3"/>
        <v>19950</v>
      </c>
      <c r="G11" s="276">
        <f t="shared" si="3"/>
        <v>15400</v>
      </c>
      <c r="H11" s="276">
        <f t="shared" si="3"/>
        <v>7850</v>
      </c>
      <c r="I11" s="276">
        <f t="shared" si="3"/>
        <v>36850</v>
      </c>
      <c r="J11" s="276">
        <f t="shared" si="3"/>
        <v>15650</v>
      </c>
      <c r="K11" s="276">
        <f t="shared" si="3"/>
        <v>101250</v>
      </c>
      <c r="L11" s="276">
        <f t="shared" si="3"/>
        <v>16250</v>
      </c>
      <c r="M11" s="655">
        <f t="shared" si="3"/>
        <v>38750</v>
      </c>
      <c r="N11" s="641">
        <f t="shared" si="1"/>
        <v>351827.56</v>
      </c>
      <c r="O11" s="440">
        <f>SUM(O6:O10)</f>
        <v>288900</v>
      </c>
      <c r="P11" s="276">
        <v>779365.77</v>
      </c>
      <c r="Q11" s="275">
        <f t="shared" si="2"/>
        <v>-427538.21</v>
      </c>
      <c r="R11" s="440">
        <f>SUM(R6:R10)</f>
        <v>323600</v>
      </c>
      <c r="S11" s="398">
        <f t="shared" si="0"/>
        <v>-34700</v>
      </c>
      <c r="T11" s="500"/>
    </row>
    <row r="12" spans="1:20" s="267" customFormat="1" ht="6" customHeight="1">
      <c r="A12" s="420"/>
      <c r="B12" s="715"/>
      <c r="C12" s="715"/>
      <c r="D12" s="272"/>
      <c r="E12" s="272"/>
      <c r="F12" s="272"/>
      <c r="G12" s="272"/>
      <c r="H12" s="272"/>
      <c r="I12" s="272"/>
      <c r="J12" s="272"/>
      <c r="K12" s="272"/>
      <c r="L12" s="272"/>
      <c r="M12" s="656"/>
      <c r="N12" s="468"/>
      <c r="O12" s="397"/>
      <c r="P12" s="133"/>
      <c r="Q12" s="274"/>
      <c r="R12" s="397"/>
      <c r="S12" s="398">
        <f t="shared" si="0"/>
        <v>0</v>
      </c>
      <c r="T12" s="500"/>
    </row>
    <row r="13" spans="1:20" s="267" customFormat="1" ht="13">
      <c r="A13" s="419" t="s">
        <v>122</v>
      </c>
      <c r="B13" s="713"/>
      <c r="C13" s="732"/>
      <c r="D13" s="271"/>
      <c r="E13" s="271"/>
      <c r="F13" s="271"/>
      <c r="G13" s="271"/>
      <c r="H13" s="271"/>
      <c r="I13" s="271"/>
      <c r="J13" s="271"/>
      <c r="K13" s="271"/>
      <c r="L13" s="271"/>
      <c r="M13" s="654"/>
      <c r="N13" s="468"/>
      <c r="O13" s="397"/>
      <c r="P13" s="271"/>
      <c r="Q13" s="274"/>
      <c r="R13" s="397"/>
      <c r="S13" s="398">
        <f t="shared" si="0"/>
        <v>0</v>
      </c>
      <c r="T13" s="500"/>
    </row>
    <row r="14" spans="1:20" s="267" customFormat="1" ht="13">
      <c r="A14" s="420" t="s">
        <v>21</v>
      </c>
      <c r="B14" s="713">
        <v>0</v>
      </c>
      <c r="C14" s="732">
        <v>0</v>
      </c>
      <c r="D14" s="271">
        <v>0</v>
      </c>
      <c r="E14" s="271">
        <v>0</v>
      </c>
      <c r="F14" s="271">
        <v>0</v>
      </c>
      <c r="G14" s="271">
        <v>0</v>
      </c>
      <c r="H14" s="746">
        <v>0</v>
      </c>
      <c r="I14" s="746">
        <v>0</v>
      </c>
      <c r="J14" s="746">
        <v>0</v>
      </c>
      <c r="K14" s="746">
        <v>0</v>
      </c>
      <c r="L14" s="271">
        <v>0</v>
      </c>
      <c r="M14" s="654">
        <f>0</f>
        <v>0</v>
      </c>
      <c r="N14" s="468">
        <f>SUM(B14:M14)</f>
        <v>0</v>
      </c>
      <c r="O14" s="397">
        <v>102000</v>
      </c>
      <c r="P14" s="271"/>
      <c r="Q14" s="274"/>
      <c r="R14" s="523">
        <v>102000</v>
      </c>
      <c r="S14" s="398">
        <f t="shared" si="0"/>
        <v>0</v>
      </c>
      <c r="T14" s="500"/>
    </row>
    <row r="15" spans="1:20" s="267" customFormat="1" ht="13">
      <c r="A15" s="419" t="s">
        <v>124</v>
      </c>
      <c r="B15" s="713">
        <v>0</v>
      </c>
      <c r="C15" s="732">
        <f>0</f>
        <v>0</v>
      </c>
      <c r="D15" s="271">
        <v>0</v>
      </c>
      <c r="E15" s="271">
        <v>0</v>
      </c>
      <c r="F15" s="271">
        <v>0</v>
      </c>
      <c r="G15" s="271">
        <f>0</f>
        <v>0</v>
      </c>
      <c r="H15" s="746">
        <v>0</v>
      </c>
      <c r="I15" s="746">
        <f>0</f>
        <v>0</v>
      </c>
      <c r="J15" s="746">
        <v>0</v>
      </c>
      <c r="K15" s="746">
        <f>0</f>
        <v>0</v>
      </c>
      <c r="L15" s="271">
        <f>0</f>
        <v>0</v>
      </c>
      <c r="M15" s="654">
        <f>0</f>
        <v>0</v>
      </c>
      <c r="N15" s="468">
        <f>SUM(B15:M15)</f>
        <v>0</v>
      </c>
      <c r="O15" s="397">
        <v>30000</v>
      </c>
      <c r="P15" s="271"/>
      <c r="Q15" s="274"/>
      <c r="R15" s="397">
        <v>30000</v>
      </c>
      <c r="S15" s="398">
        <f t="shared" si="0"/>
        <v>0</v>
      </c>
      <c r="T15" s="500"/>
    </row>
    <row r="16" spans="1:20" s="267" customFormat="1" ht="13">
      <c r="A16" s="420" t="s">
        <v>25</v>
      </c>
      <c r="B16" s="713">
        <v>0</v>
      </c>
      <c r="C16" s="732">
        <f>0</f>
        <v>0</v>
      </c>
      <c r="D16" s="271">
        <f>0</f>
        <v>0</v>
      </c>
      <c r="E16" s="271">
        <f>0</f>
        <v>0</v>
      </c>
      <c r="F16" s="271">
        <v>0</v>
      </c>
      <c r="G16" s="278">
        <f>0</f>
        <v>0</v>
      </c>
      <c r="H16" s="746">
        <f>0</f>
        <v>0</v>
      </c>
      <c r="I16" s="746">
        <f>0</f>
        <v>0</v>
      </c>
      <c r="J16" s="746">
        <f>0</f>
        <v>0</v>
      </c>
      <c r="K16" s="746">
        <f>0</f>
        <v>0</v>
      </c>
      <c r="L16" s="271">
        <f>0</f>
        <v>0</v>
      </c>
      <c r="M16" s="654">
        <f>0</f>
        <v>0</v>
      </c>
      <c r="N16" s="468">
        <f>SUM(B16:M16)</f>
        <v>0</v>
      </c>
      <c r="O16" s="397">
        <v>0</v>
      </c>
      <c r="P16" s="271"/>
      <c r="Q16" s="274"/>
      <c r="R16" s="397">
        <v>0</v>
      </c>
      <c r="S16" s="398">
        <f t="shared" si="0"/>
        <v>0</v>
      </c>
      <c r="T16" s="500"/>
    </row>
    <row r="17" spans="1:20" s="368" customFormat="1" ht="13">
      <c r="A17" s="419" t="s">
        <v>125</v>
      </c>
      <c r="B17" s="714">
        <f>SUM(B14:B16)</f>
        <v>0</v>
      </c>
      <c r="C17" s="714">
        <f t="shared" ref="C17:M17" si="4">SUM(C14:C16)</f>
        <v>0</v>
      </c>
      <c r="D17" s="276">
        <f t="shared" si="4"/>
        <v>0</v>
      </c>
      <c r="E17" s="276">
        <f t="shared" si="4"/>
        <v>0</v>
      </c>
      <c r="F17" s="276">
        <f t="shared" si="4"/>
        <v>0</v>
      </c>
      <c r="G17" s="276">
        <f t="shared" si="4"/>
        <v>0</v>
      </c>
      <c r="H17" s="747">
        <f t="shared" si="4"/>
        <v>0</v>
      </c>
      <c r="I17" s="747">
        <f t="shared" si="4"/>
        <v>0</v>
      </c>
      <c r="J17" s="747">
        <f t="shared" si="4"/>
        <v>0</v>
      </c>
      <c r="K17" s="747">
        <f t="shared" si="4"/>
        <v>0</v>
      </c>
      <c r="L17" s="276">
        <f t="shared" si="4"/>
        <v>0</v>
      </c>
      <c r="M17" s="655">
        <f t="shared" si="4"/>
        <v>0</v>
      </c>
      <c r="N17" s="750">
        <f>SUM(B17:M17)</f>
        <v>0</v>
      </c>
      <c r="O17" s="440">
        <f>SUM(O14:O16)</f>
        <v>132000</v>
      </c>
      <c r="P17" s="276"/>
      <c r="Q17" s="276"/>
      <c r="R17" s="440">
        <f>SUM(R14:R16)</f>
        <v>132000</v>
      </c>
      <c r="S17" s="398">
        <f t="shared" si="0"/>
        <v>0</v>
      </c>
      <c r="T17" s="502"/>
    </row>
    <row r="18" spans="1:20" s="267" customFormat="1" ht="6" customHeight="1">
      <c r="A18" s="420"/>
      <c r="B18" s="715"/>
      <c r="C18" s="715"/>
      <c r="D18" s="272"/>
      <c r="E18" s="272"/>
      <c r="F18" s="272"/>
      <c r="G18" s="272"/>
      <c r="H18" s="272"/>
      <c r="I18" s="272"/>
      <c r="J18" s="272"/>
      <c r="K18" s="272"/>
      <c r="L18" s="272"/>
      <c r="M18" s="656"/>
      <c r="N18" s="468"/>
      <c r="O18" s="397"/>
      <c r="P18" s="272"/>
      <c r="Q18" s="274"/>
      <c r="R18" s="397"/>
      <c r="S18" s="398">
        <f t="shared" si="0"/>
        <v>0</v>
      </c>
      <c r="T18" s="500"/>
    </row>
    <row r="19" spans="1:20" s="267" customFormat="1" ht="13">
      <c r="A19" s="419" t="s">
        <v>27</v>
      </c>
      <c r="B19" s="713"/>
      <c r="C19" s="732"/>
      <c r="D19" s="271"/>
      <c r="E19" s="271"/>
      <c r="F19" s="271"/>
      <c r="G19" s="271"/>
      <c r="H19" s="271"/>
      <c r="I19" s="271"/>
      <c r="J19" s="271"/>
      <c r="K19" s="271"/>
      <c r="L19" s="271"/>
      <c r="M19" s="654"/>
      <c r="N19" s="468"/>
      <c r="O19" s="397"/>
      <c r="P19" s="271"/>
      <c r="Q19" s="274"/>
      <c r="R19" s="397"/>
      <c r="S19" s="398">
        <f t="shared" si="0"/>
        <v>0</v>
      </c>
      <c r="T19" s="500"/>
    </row>
    <row r="20" spans="1:20" s="267" customFormat="1" ht="13">
      <c r="A20" s="420" t="s">
        <v>126</v>
      </c>
      <c r="B20" s="713">
        <f>0</f>
        <v>0</v>
      </c>
      <c r="C20" s="732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654">
        <f>0</f>
        <v>0</v>
      </c>
      <c r="N20" s="468">
        <f>SUM(B20:M20)</f>
        <v>0</v>
      </c>
      <c r="O20" s="397">
        <v>0</v>
      </c>
      <c r="P20" s="271">
        <v>-651.64999999999986</v>
      </c>
      <c r="Q20" s="274">
        <f t="shared" si="2"/>
        <v>651.64999999999986</v>
      </c>
      <c r="R20" s="397">
        <v>0</v>
      </c>
      <c r="S20" s="398">
        <f t="shared" si="0"/>
        <v>0</v>
      </c>
      <c r="T20" s="500"/>
    </row>
    <row r="21" spans="1:20" s="267" customFormat="1" ht="13">
      <c r="A21" s="420" t="s">
        <v>127</v>
      </c>
      <c r="B21" s="716">
        <v>42.03</v>
      </c>
      <c r="C21" s="716">
        <v>37.43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707">
        <v>0</v>
      </c>
      <c r="N21" s="468">
        <f>SUM(B21:M21)</f>
        <v>79.460000000000008</v>
      </c>
      <c r="O21" s="397">
        <v>4200</v>
      </c>
      <c r="P21" s="274"/>
      <c r="Q21" s="274">
        <f t="shared" si="2"/>
        <v>79.460000000000008</v>
      </c>
      <c r="R21" s="397">
        <v>4200</v>
      </c>
      <c r="S21" s="398">
        <f t="shared" si="0"/>
        <v>0</v>
      </c>
      <c r="T21" s="500"/>
    </row>
    <row r="22" spans="1:20" s="267" customFormat="1" ht="13">
      <c r="A22" s="420" t="s">
        <v>128</v>
      </c>
      <c r="B22" s="713"/>
      <c r="C22" s="733"/>
      <c r="D22" s="273"/>
      <c r="E22" s="273"/>
      <c r="F22" s="273"/>
      <c r="G22" s="273"/>
      <c r="H22" s="273"/>
      <c r="I22" s="273"/>
      <c r="J22" s="273"/>
      <c r="K22" s="273"/>
      <c r="L22" s="273"/>
      <c r="M22" s="657"/>
      <c r="N22" s="468">
        <f>SUM(B22:M22)</f>
        <v>0</v>
      </c>
      <c r="O22" s="397">
        <v>0</v>
      </c>
      <c r="P22" s="274"/>
      <c r="Q22" s="274">
        <f t="shared" si="2"/>
        <v>0</v>
      </c>
      <c r="R22" s="397">
        <v>0</v>
      </c>
      <c r="S22" s="398">
        <f t="shared" si="0"/>
        <v>0</v>
      </c>
      <c r="T22" s="500"/>
    </row>
    <row r="23" spans="1:20" s="267" customFormat="1" ht="13">
      <c r="A23" s="422" t="s">
        <v>29</v>
      </c>
      <c r="B23" s="714">
        <f>SUM(B19:B22)</f>
        <v>42.03</v>
      </c>
      <c r="C23" s="714">
        <f>SUM(C20:C22)</f>
        <v>37.43</v>
      </c>
      <c r="D23" s="276">
        <f t="shared" ref="D23:M23" si="5">SUM(D20:D22)</f>
        <v>0</v>
      </c>
      <c r="E23" s="276">
        <f t="shared" si="5"/>
        <v>0</v>
      </c>
      <c r="F23" s="276">
        <f t="shared" si="5"/>
        <v>0</v>
      </c>
      <c r="G23" s="276">
        <f t="shared" si="5"/>
        <v>0</v>
      </c>
      <c r="H23" s="276">
        <f>SUM(H19:H22)</f>
        <v>0</v>
      </c>
      <c r="I23" s="276">
        <f t="shared" si="5"/>
        <v>0</v>
      </c>
      <c r="J23" s="276">
        <f t="shared" si="5"/>
        <v>0</v>
      </c>
      <c r="K23" s="276">
        <f t="shared" si="5"/>
        <v>0</v>
      </c>
      <c r="L23" s="276">
        <f t="shared" si="5"/>
        <v>0</v>
      </c>
      <c r="M23" s="655">
        <f t="shared" si="5"/>
        <v>0</v>
      </c>
      <c r="N23" s="641">
        <f>SUM(B23:M23)</f>
        <v>79.460000000000008</v>
      </c>
      <c r="O23" s="440">
        <f>SUM(O20:O22)</f>
        <v>4200</v>
      </c>
      <c r="P23" s="276">
        <v>-651.64999999999986</v>
      </c>
      <c r="Q23" s="276">
        <f t="shared" si="2"/>
        <v>731.1099999999999</v>
      </c>
      <c r="R23" s="440">
        <f>SUM(R20:R22)</f>
        <v>4200</v>
      </c>
      <c r="S23" s="398">
        <f t="shared" si="0"/>
        <v>0</v>
      </c>
      <c r="T23" s="500"/>
    </row>
    <row r="24" spans="1:20" s="267" customFormat="1" ht="6" customHeight="1">
      <c r="A24" s="420"/>
      <c r="B24" s="715"/>
      <c r="C24" s="715"/>
      <c r="D24" s="272"/>
      <c r="E24" s="272"/>
      <c r="F24" s="272"/>
      <c r="G24" s="272"/>
      <c r="H24" s="272"/>
      <c r="I24" s="272"/>
      <c r="J24" s="272"/>
      <c r="K24" s="272"/>
      <c r="L24" s="272"/>
      <c r="M24" s="656"/>
      <c r="N24" s="468"/>
      <c r="O24" s="397"/>
      <c r="P24" s="133"/>
      <c r="Q24" s="133"/>
      <c r="R24" s="133"/>
      <c r="S24" s="398">
        <f t="shared" si="0"/>
        <v>0</v>
      </c>
      <c r="T24" s="500"/>
    </row>
    <row r="25" spans="1:20" s="267" customFormat="1" ht="13">
      <c r="A25" s="419" t="s">
        <v>30</v>
      </c>
      <c r="B25" s="713"/>
      <c r="C25" s="732"/>
      <c r="D25" s="271"/>
      <c r="E25" s="271"/>
      <c r="F25" s="271"/>
      <c r="G25" s="271"/>
      <c r="H25" s="271"/>
      <c r="I25" s="271"/>
      <c r="J25" s="271"/>
      <c r="K25" s="271"/>
      <c r="L25" s="271"/>
      <c r="M25" s="654"/>
      <c r="N25" s="468"/>
      <c r="O25" s="397"/>
      <c r="P25" s="133"/>
      <c r="Q25" s="133"/>
      <c r="R25" s="133"/>
      <c r="S25" s="398">
        <f t="shared" si="0"/>
        <v>0</v>
      </c>
      <c r="T25" s="500"/>
    </row>
    <row r="26" spans="1:20" s="267" customFormat="1" ht="13">
      <c r="A26" s="420" t="s">
        <v>31</v>
      </c>
      <c r="B26" s="713">
        <v>6.84</v>
      </c>
      <c r="C26" s="732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654">
        <v>0</v>
      </c>
      <c r="N26" s="468">
        <f t="shared" ref="N26:N44" si="6">SUM(B26:M26)</f>
        <v>6.84</v>
      </c>
      <c r="O26" s="397">
        <v>0</v>
      </c>
      <c r="P26" s="271">
        <v>6.1899999999999995</v>
      </c>
      <c r="Q26" s="274">
        <f>N26-P26</f>
        <v>0.65000000000000036</v>
      </c>
      <c r="R26" s="397">
        <v>0</v>
      </c>
      <c r="S26" s="398">
        <f t="shared" si="0"/>
        <v>0</v>
      </c>
      <c r="T26" s="500"/>
    </row>
    <row r="27" spans="1:20" s="267" customFormat="1" ht="13">
      <c r="A27" s="420" t="s">
        <v>129</v>
      </c>
      <c r="B27" s="713">
        <v>0</v>
      </c>
      <c r="C27" s="732">
        <v>10.48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654">
        <v>0</v>
      </c>
      <c r="N27" s="468">
        <f t="shared" si="6"/>
        <v>10.48</v>
      </c>
      <c r="O27" s="397">
        <v>0</v>
      </c>
      <c r="P27" s="271">
        <v>288.74999999999994</v>
      </c>
      <c r="Q27" s="274">
        <f t="shared" ref="Q27:Q44" si="7">N27-P27</f>
        <v>-278.26999999999992</v>
      </c>
      <c r="R27" s="397">
        <v>0</v>
      </c>
      <c r="S27" s="398">
        <f t="shared" si="0"/>
        <v>0</v>
      </c>
      <c r="T27" s="500"/>
    </row>
    <row r="28" spans="1:20" s="267" customFormat="1" ht="13">
      <c r="A28" s="420" t="s">
        <v>130</v>
      </c>
      <c r="B28" s="713">
        <v>0</v>
      </c>
      <c r="C28" s="713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654">
        <v>0</v>
      </c>
      <c r="N28" s="468">
        <f t="shared" si="6"/>
        <v>0</v>
      </c>
      <c r="O28" s="397">
        <v>0</v>
      </c>
      <c r="P28" s="271"/>
      <c r="Q28" s="274">
        <f t="shared" si="7"/>
        <v>0</v>
      </c>
      <c r="R28" s="397">
        <v>0</v>
      </c>
      <c r="S28" s="398">
        <f t="shared" si="0"/>
        <v>0</v>
      </c>
      <c r="T28" s="500"/>
    </row>
    <row r="29" spans="1:20" s="267" customFormat="1" ht="13" hidden="1">
      <c r="A29" s="420" t="s">
        <v>131</v>
      </c>
      <c r="B29" s="713"/>
      <c r="C29" s="732"/>
      <c r="D29" s="271"/>
      <c r="E29" s="271"/>
      <c r="F29" s="271"/>
      <c r="G29" s="271"/>
      <c r="H29" s="271"/>
      <c r="I29" s="271"/>
      <c r="J29" s="271"/>
      <c r="K29" s="271"/>
      <c r="L29" s="271"/>
      <c r="M29" s="654"/>
      <c r="N29" s="468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397">
        <v>0</v>
      </c>
      <c r="S29" s="398">
        <f t="shared" si="0"/>
        <v>0</v>
      </c>
      <c r="T29" s="500"/>
    </row>
    <row r="30" spans="1:20" s="267" customFormat="1" ht="13" hidden="1">
      <c r="A30" s="420" t="s">
        <v>132</v>
      </c>
      <c r="B30" s="713"/>
      <c r="C30" s="732"/>
      <c r="D30" s="271"/>
      <c r="E30" s="271"/>
      <c r="F30" s="271"/>
      <c r="G30" s="271"/>
      <c r="H30" s="271"/>
      <c r="I30" s="271"/>
      <c r="J30" s="271"/>
      <c r="K30" s="271"/>
      <c r="L30" s="271"/>
      <c r="M30" s="654"/>
      <c r="N30" s="468">
        <f t="shared" si="6"/>
        <v>0</v>
      </c>
      <c r="O30" s="397">
        <v>0</v>
      </c>
      <c r="P30" s="271">
        <v>0</v>
      </c>
      <c r="Q30" s="274">
        <f t="shared" si="7"/>
        <v>0</v>
      </c>
      <c r="R30" s="397">
        <v>0</v>
      </c>
      <c r="S30" s="398">
        <f t="shared" si="0"/>
        <v>0</v>
      </c>
      <c r="T30" s="500"/>
    </row>
    <row r="31" spans="1:20" s="267" customFormat="1" ht="13" hidden="1">
      <c r="A31" s="420" t="s">
        <v>133</v>
      </c>
      <c r="B31" s="713"/>
      <c r="C31" s="732"/>
      <c r="D31" s="271"/>
      <c r="E31" s="271"/>
      <c r="F31" s="271"/>
      <c r="G31" s="271"/>
      <c r="H31" s="271"/>
      <c r="I31" s="271"/>
      <c r="J31" s="271"/>
      <c r="K31" s="271"/>
      <c r="L31" s="271"/>
      <c r="M31" s="654"/>
      <c r="N31" s="468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397">
        <v>0</v>
      </c>
      <c r="S31" s="398">
        <f t="shared" si="0"/>
        <v>0</v>
      </c>
      <c r="T31" s="500"/>
    </row>
    <row r="32" spans="1:20" s="267" customFormat="1" ht="13">
      <c r="A32" s="420" t="s">
        <v>39</v>
      </c>
      <c r="B32" s="713"/>
      <c r="C32" s="713"/>
      <c r="D32" s="278"/>
      <c r="E32" s="278"/>
      <c r="F32" s="278"/>
      <c r="G32" s="278"/>
      <c r="H32" s="278"/>
      <c r="I32" s="278"/>
      <c r="J32" s="278"/>
      <c r="K32" s="278"/>
      <c r="L32" s="278"/>
      <c r="M32" s="654"/>
      <c r="N32" s="468"/>
      <c r="O32" s="397"/>
      <c r="P32" s="271">
        <v>99794.28</v>
      </c>
      <c r="Q32" s="274">
        <f t="shared" si="7"/>
        <v>-99794.28</v>
      </c>
      <c r="R32" s="397"/>
      <c r="S32" s="398">
        <f t="shared" si="0"/>
        <v>0</v>
      </c>
      <c r="T32" s="500"/>
    </row>
    <row r="33" spans="1:23" s="527" customFormat="1" ht="39">
      <c r="A33" s="519" t="s">
        <v>134</v>
      </c>
      <c r="B33" s="717">
        <v>0</v>
      </c>
      <c r="C33" s="717">
        <v>0</v>
      </c>
      <c r="D33" s="520">
        <v>0</v>
      </c>
      <c r="E33" s="520">
        <v>0</v>
      </c>
      <c r="F33" s="520">
        <v>0</v>
      </c>
      <c r="G33" s="520">
        <v>0</v>
      </c>
      <c r="H33" s="520">
        <v>0</v>
      </c>
      <c r="I33" s="520">
        <v>0</v>
      </c>
      <c r="J33" s="520">
        <v>0</v>
      </c>
      <c r="K33" s="520">
        <v>0</v>
      </c>
      <c r="L33" s="520">
        <v>0</v>
      </c>
      <c r="M33" s="658">
        <v>0</v>
      </c>
      <c r="N33" s="642">
        <f t="shared" ref="N33:N38" si="8">SUM(B33:M33)</f>
        <v>0</v>
      </c>
      <c r="O33" s="523">
        <v>1800</v>
      </c>
      <c r="P33" s="521"/>
      <c r="Q33" s="524"/>
      <c r="R33" s="523">
        <v>7200</v>
      </c>
      <c r="S33" s="525">
        <f t="shared" si="0"/>
        <v>-5400</v>
      </c>
      <c r="T33" s="526" t="s">
        <v>240</v>
      </c>
    </row>
    <row r="34" spans="1:23" s="527" customFormat="1" ht="39">
      <c r="A34" s="519" t="s">
        <v>135</v>
      </c>
      <c r="B34" s="717">
        <v>0</v>
      </c>
      <c r="C34" s="717">
        <v>0</v>
      </c>
      <c r="D34" s="520">
        <v>0</v>
      </c>
      <c r="E34" s="520">
        <v>0</v>
      </c>
      <c r="F34" s="520">
        <v>0</v>
      </c>
      <c r="G34" s="520">
        <v>0</v>
      </c>
      <c r="H34" s="520">
        <v>0</v>
      </c>
      <c r="I34" s="520">
        <v>0</v>
      </c>
      <c r="J34" s="520">
        <v>0</v>
      </c>
      <c r="K34" s="520">
        <v>0</v>
      </c>
      <c r="L34" s="520">
        <v>0</v>
      </c>
      <c r="M34" s="658">
        <v>0</v>
      </c>
      <c r="N34" s="642">
        <f t="shared" si="8"/>
        <v>0</v>
      </c>
      <c r="O34" s="523">
        <v>3000</v>
      </c>
      <c r="P34" s="521"/>
      <c r="Q34" s="524"/>
      <c r="R34" s="523">
        <v>25200</v>
      </c>
      <c r="S34" s="525">
        <f t="shared" si="0"/>
        <v>-22200</v>
      </c>
      <c r="T34" s="526" t="s">
        <v>241</v>
      </c>
    </row>
    <row r="35" spans="1:23" s="527" customFormat="1" ht="86" customHeight="1">
      <c r="A35" s="519" t="s">
        <v>136</v>
      </c>
      <c r="B35" s="718">
        <f>Assumptions!B6</f>
        <v>0</v>
      </c>
      <c r="C35" s="718">
        <v>2660</v>
      </c>
      <c r="D35" s="744" t="e">
        <f>#REF!</f>
        <v>#REF!</v>
      </c>
      <c r="E35" s="744" t="e">
        <f>#REF!</f>
        <v>#REF!</v>
      </c>
      <c r="F35" s="744" t="e">
        <f>#REF!</f>
        <v>#REF!</v>
      </c>
      <c r="G35" s="744" t="e">
        <f>#REF!</f>
        <v>#REF!</v>
      </c>
      <c r="H35" s="744" t="e">
        <f>#REF!</f>
        <v>#REF!</v>
      </c>
      <c r="I35" s="744" t="e">
        <f>#REF!</f>
        <v>#REF!</v>
      </c>
      <c r="J35" s="744" t="e">
        <f>#REF!</f>
        <v>#REF!</v>
      </c>
      <c r="K35" s="744" t="e">
        <f>#REF!</f>
        <v>#REF!</v>
      </c>
      <c r="L35" s="744" t="e">
        <f>#REF!</f>
        <v>#REF!</v>
      </c>
      <c r="M35" s="745" t="e">
        <f>#REF!</f>
        <v>#REF!</v>
      </c>
      <c r="N35" s="642" t="e">
        <f t="shared" si="8"/>
        <v>#REF!</v>
      </c>
      <c r="O35" s="523">
        <v>155000</v>
      </c>
      <c r="P35" s="521"/>
      <c r="Q35" s="524"/>
      <c r="R35" s="523">
        <v>1706000</v>
      </c>
      <c r="S35" s="525">
        <f t="shared" si="0"/>
        <v>-1551000</v>
      </c>
      <c r="T35" s="526" t="s">
        <v>242</v>
      </c>
    </row>
    <row r="36" spans="1:23" s="267" customFormat="1" ht="13">
      <c r="A36" s="420" t="s">
        <v>137</v>
      </c>
      <c r="B36" s="713"/>
      <c r="C36" s="713">
        <v>0</v>
      </c>
      <c r="D36" s="677">
        <f>'Lean Assumptions'!D8</f>
        <v>2280</v>
      </c>
      <c r="E36" s="677">
        <f>'Lean Assumptions'!E8</f>
        <v>2280</v>
      </c>
      <c r="F36" s="677">
        <f>'Lean Assumptions'!F8</f>
        <v>2280</v>
      </c>
      <c r="G36" s="677">
        <f>'Lean Assumptions'!G8</f>
        <v>2280</v>
      </c>
      <c r="H36" s="677">
        <f>'Lean Assumptions'!H8</f>
        <v>2280</v>
      </c>
      <c r="I36" s="677">
        <f>'Lean Assumptions'!I8</f>
        <v>2280</v>
      </c>
      <c r="J36" s="677">
        <f>'Lean Assumptions'!J8</f>
        <v>2280</v>
      </c>
      <c r="K36" s="677">
        <f>'Lean Assumptions'!K8</f>
        <v>2280</v>
      </c>
      <c r="L36" s="677">
        <f>'Lean Assumptions'!L8</f>
        <v>2280</v>
      </c>
      <c r="M36" s="745">
        <f>'Lean Assumptions'!M8</f>
        <v>2280</v>
      </c>
      <c r="N36" s="468">
        <f>SUM(B36:M36)</f>
        <v>22800</v>
      </c>
      <c r="O36" s="397">
        <v>36000</v>
      </c>
      <c r="P36" s="271">
        <v>15873</v>
      </c>
      <c r="Q36" s="274">
        <f t="shared" si="7"/>
        <v>6927</v>
      </c>
      <c r="R36" s="397">
        <v>151200</v>
      </c>
      <c r="S36" s="398">
        <f t="shared" si="0"/>
        <v>-115200</v>
      </c>
      <c r="T36" s="500"/>
    </row>
    <row r="37" spans="1:23" s="527" customFormat="1" ht="26">
      <c r="A37" s="519" t="s">
        <v>243</v>
      </c>
      <c r="B37" s="717">
        <v>6296</v>
      </c>
      <c r="C37" s="717">
        <v>7385</v>
      </c>
      <c r="D37" s="520">
        <v>1500</v>
      </c>
      <c r="E37" s="520">
        <v>1500</v>
      </c>
      <c r="F37" s="520">
        <v>1500</v>
      </c>
      <c r="G37" s="520">
        <v>0</v>
      </c>
      <c r="H37" s="520">
        <v>0</v>
      </c>
      <c r="I37" s="521">
        <v>0</v>
      </c>
      <c r="J37" s="521">
        <v>0</v>
      </c>
      <c r="K37" s="521">
        <v>0</v>
      </c>
      <c r="L37" s="521">
        <v>0</v>
      </c>
      <c r="M37" s="658">
        <v>0</v>
      </c>
      <c r="N37" s="642">
        <f t="shared" si="8"/>
        <v>18181</v>
      </c>
      <c r="O37" s="523">
        <v>11000</v>
      </c>
      <c r="P37" s="521"/>
      <c r="Q37" s="524"/>
      <c r="R37" s="523">
        <v>174000</v>
      </c>
      <c r="S37" s="525">
        <f t="shared" si="0"/>
        <v>-163000</v>
      </c>
      <c r="T37" s="526" t="s">
        <v>244</v>
      </c>
    </row>
    <row r="38" spans="1:23" s="267" customFormat="1" ht="13">
      <c r="A38" s="420" t="s">
        <v>139</v>
      </c>
      <c r="B38" s="713">
        <v>0</v>
      </c>
      <c r="C38" s="713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654">
        <v>0</v>
      </c>
      <c r="N38" s="468">
        <f t="shared" si="8"/>
        <v>0</v>
      </c>
      <c r="O38" s="397">
        <v>0</v>
      </c>
      <c r="P38" s="271"/>
      <c r="Q38" s="274">
        <f>N38-P38</f>
        <v>0</v>
      </c>
      <c r="R38" s="397">
        <v>0</v>
      </c>
      <c r="S38" s="398">
        <f t="shared" si="0"/>
        <v>0</v>
      </c>
      <c r="T38" s="500"/>
    </row>
    <row r="39" spans="1:23" s="267" customFormat="1" ht="12">
      <c r="A39" s="420"/>
      <c r="B39" s="713"/>
      <c r="C39" s="732"/>
      <c r="D39" s="271"/>
      <c r="E39" s="271"/>
      <c r="F39" s="271"/>
      <c r="G39" s="271"/>
      <c r="H39" s="271"/>
      <c r="I39" s="271"/>
      <c r="J39" s="271"/>
      <c r="K39" s="271"/>
      <c r="L39" s="271"/>
      <c r="M39" s="654"/>
      <c r="N39" s="468"/>
      <c r="O39" s="397"/>
      <c r="P39" s="271"/>
      <c r="Q39" s="274"/>
      <c r="R39" s="397"/>
      <c r="S39" s="398">
        <f t="shared" si="0"/>
        <v>0</v>
      </c>
      <c r="T39" s="500"/>
    </row>
    <row r="40" spans="1:23" s="267" customFormat="1" ht="13">
      <c r="A40" s="420" t="s">
        <v>140</v>
      </c>
      <c r="B40" s="719">
        <v>0</v>
      </c>
      <c r="C40" s="713">
        <v>0</v>
      </c>
      <c r="D40" s="271">
        <v>0</v>
      </c>
      <c r="E40" s="271">
        <v>0</v>
      </c>
      <c r="F40" s="271">
        <v>-10000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0</v>
      </c>
      <c r="M40" s="654">
        <v>0</v>
      </c>
      <c r="N40" s="468">
        <f>SUM(B40:M40)</f>
        <v>-10000</v>
      </c>
      <c r="O40" s="397">
        <v>-20000</v>
      </c>
      <c r="P40" s="271"/>
      <c r="Q40" s="274"/>
      <c r="R40" s="397">
        <v>-20000</v>
      </c>
      <c r="S40" s="398">
        <f t="shared" si="0"/>
        <v>0</v>
      </c>
      <c r="T40" s="500"/>
    </row>
    <row r="41" spans="1:23" s="267" customFormat="1" ht="13">
      <c r="A41" s="420" t="s">
        <v>141</v>
      </c>
      <c r="B41" s="713">
        <v>0</v>
      </c>
      <c r="C41" s="713">
        <v>0</v>
      </c>
      <c r="D41" s="730">
        <v>0</v>
      </c>
      <c r="E41" s="278">
        <v>0</v>
      </c>
      <c r="F41" s="271">
        <v>0</v>
      </c>
      <c r="G41" s="730">
        <v>0</v>
      </c>
      <c r="H41" s="271">
        <v>0</v>
      </c>
      <c r="I41" s="271">
        <v>0</v>
      </c>
      <c r="J41" s="730">
        <v>0</v>
      </c>
      <c r="K41" s="271">
        <v>0</v>
      </c>
      <c r="L41" s="271">
        <v>0</v>
      </c>
      <c r="M41" s="730">
        <v>0</v>
      </c>
      <c r="N41" s="468">
        <f t="shared" si="6"/>
        <v>0</v>
      </c>
      <c r="O41" s="397">
        <v>22500</v>
      </c>
      <c r="P41" s="271"/>
      <c r="Q41" s="274">
        <f t="shared" si="7"/>
        <v>0</v>
      </c>
      <c r="R41" s="397">
        <v>22500</v>
      </c>
      <c r="S41" s="398">
        <f t="shared" si="0"/>
        <v>0</v>
      </c>
      <c r="T41" s="500"/>
    </row>
    <row r="42" spans="1:23" s="267" customFormat="1" ht="13">
      <c r="A42" s="420" t="s">
        <v>142</v>
      </c>
      <c r="B42" s="713">
        <v>0</v>
      </c>
      <c r="C42" s="713">
        <v>0</v>
      </c>
      <c r="D42" s="278">
        <v>0</v>
      </c>
      <c r="E42" s="278">
        <v>0</v>
      </c>
      <c r="F42" s="278">
        <v>0</v>
      </c>
      <c r="G42" s="278">
        <v>0</v>
      </c>
      <c r="H42" s="278">
        <v>0</v>
      </c>
      <c r="I42" s="278">
        <v>0</v>
      </c>
      <c r="J42" s="278">
        <v>300</v>
      </c>
      <c r="K42" s="278">
        <v>300</v>
      </c>
      <c r="L42" s="278">
        <v>300</v>
      </c>
      <c r="M42" s="654">
        <v>300</v>
      </c>
      <c r="N42" s="443">
        <f>SUM(B42:M42)</f>
        <v>1200</v>
      </c>
      <c r="O42" s="397">
        <v>1200</v>
      </c>
      <c r="P42" s="278"/>
      <c r="Q42" s="286"/>
      <c r="R42" s="397">
        <v>8200</v>
      </c>
      <c r="S42" s="398">
        <f t="shared" si="0"/>
        <v>-7000</v>
      </c>
      <c r="T42" s="503"/>
      <c r="U42" s="369"/>
      <c r="V42" s="369"/>
      <c r="W42" s="369"/>
    </row>
    <row r="43" spans="1:23" s="267" customFormat="1" ht="13">
      <c r="A43" s="420" t="s">
        <v>41</v>
      </c>
      <c r="B43" s="713">
        <f>0</f>
        <v>0</v>
      </c>
      <c r="C43" s="732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654">
        <f>0</f>
        <v>0</v>
      </c>
      <c r="N43" s="468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397">
        <v>0</v>
      </c>
      <c r="S43" s="398">
        <f t="shared" si="0"/>
        <v>0</v>
      </c>
      <c r="T43" s="500"/>
    </row>
    <row r="44" spans="1:23" s="438" customFormat="1" ht="13">
      <c r="A44" s="437" t="s">
        <v>42</v>
      </c>
      <c r="B44" s="714">
        <f t="shared" ref="B44:M44" si="9">SUM(B26:B43)</f>
        <v>6302.84</v>
      </c>
      <c r="C44" s="714">
        <f t="shared" si="9"/>
        <v>10055.48</v>
      </c>
      <c r="D44" s="276" t="e">
        <f t="shared" si="9"/>
        <v>#REF!</v>
      </c>
      <c r="E44" s="276" t="e">
        <f t="shared" si="9"/>
        <v>#REF!</v>
      </c>
      <c r="F44" s="276" t="e">
        <f t="shared" si="9"/>
        <v>#REF!</v>
      </c>
      <c r="G44" s="276" t="e">
        <f t="shared" si="9"/>
        <v>#REF!</v>
      </c>
      <c r="H44" s="276" t="e">
        <f t="shared" si="9"/>
        <v>#REF!</v>
      </c>
      <c r="I44" s="276" t="e">
        <f t="shared" si="9"/>
        <v>#REF!</v>
      </c>
      <c r="J44" s="276" t="e">
        <f t="shared" si="9"/>
        <v>#REF!</v>
      </c>
      <c r="K44" s="276" t="e">
        <f t="shared" si="9"/>
        <v>#REF!</v>
      </c>
      <c r="L44" s="276" t="e">
        <f t="shared" si="9"/>
        <v>#REF!</v>
      </c>
      <c r="M44" s="655" t="e">
        <f t="shared" si="9"/>
        <v>#REF!</v>
      </c>
      <c r="N44" s="641" t="e">
        <f t="shared" si="6"/>
        <v>#REF!</v>
      </c>
      <c r="O44" s="440">
        <f>SUM(O26:O43)</f>
        <v>210500</v>
      </c>
      <c r="P44" s="276">
        <v>401062.26</v>
      </c>
      <c r="Q44" s="276" t="e">
        <f t="shared" si="7"/>
        <v>#REF!</v>
      </c>
      <c r="R44" s="440">
        <f>SUM(R26:R43)</f>
        <v>2074300</v>
      </c>
      <c r="S44" s="398">
        <f t="shared" si="0"/>
        <v>-1863800</v>
      </c>
      <c r="T44" s="504"/>
    </row>
    <row r="45" spans="1:23" s="267" customFormat="1" ht="6" customHeight="1">
      <c r="A45" s="419"/>
      <c r="B45" s="715"/>
      <c r="C45" s="715"/>
      <c r="D45" s="272"/>
      <c r="E45" s="272"/>
      <c r="F45" s="272"/>
      <c r="G45" s="272"/>
      <c r="H45" s="272"/>
      <c r="I45" s="272"/>
      <c r="J45" s="272"/>
      <c r="K45" s="272"/>
      <c r="L45" s="272"/>
      <c r="M45" s="656"/>
      <c r="N45" s="468"/>
      <c r="O45" s="397"/>
      <c r="P45" s="133"/>
      <c r="Q45" s="133"/>
      <c r="R45" s="397"/>
      <c r="S45" s="398">
        <f t="shared" si="0"/>
        <v>0</v>
      </c>
      <c r="T45" s="500"/>
    </row>
    <row r="46" spans="1:23" s="267" customFormat="1" ht="13">
      <c r="A46" s="420" t="s">
        <v>43</v>
      </c>
      <c r="B46" s="713">
        <v>0</v>
      </c>
      <c r="C46" s="713">
        <v>0</v>
      </c>
      <c r="D46" s="278">
        <v>0</v>
      </c>
      <c r="E46" s="278">
        <v>0</v>
      </c>
      <c r="F46" s="278">
        <v>0</v>
      </c>
      <c r="G46" s="278">
        <v>0</v>
      </c>
      <c r="H46" s="278">
        <v>0</v>
      </c>
      <c r="I46" s="278">
        <v>0</v>
      </c>
      <c r="J46" s="278">
        <v>0</v>
      </c>
      <c r="K46" s="278">
        <v>0</v>
      </c>
      <c r="L46" s="278">
        <v>0</v>
      </c>
      <c r="M46" s="654">
        <v>0</v>
      </c>
      <c r="N46" s="468">
        <f>SUM(B46:M46)</f>
        <v>0</v>
      </c>
      <c r="O46" s="399">
        <v>0</v>
      </c>
      <c r="P46" s="271">
        <v>0</v>
      </c>
      <c r="Q46" s="274">
        <f>N46-P46</f>
        <v>0</v>
      </c>
      <c r="R46" s="399">
        <v>-62000</v>
      </c>
      <c r="S46" s="398">
        <f t="shared" si="0"/>
        <v>62000</v>
      </c>
      <c r="T46" s="500" t="s">
        <v>220</v>
      </c>
    </row>
    <row r="47" spans="1:23" s="267" customFormat="1" ht="14" thickBot="1">
      <c r="A47" s="420" t="s">
        <v>143</v>
      </c>
      <c r="B47" s="713">
        <f>0</f>
        <v>0</v>
      </c>
      <c r="C47" s="732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654">
        <f>0</f>
        <v>0</v>
      </c>
      <c r="N47" s="468">
        <f>SUM(B47:M47)</f>
        <v>0</v>
      </c>
      <c r="O47" s="397">
        <v>0</v>
      </c>
      <c r="P47" s="271">
        <v>0</v>
      </c>
      <c r="Q47" s="274">
        <f>N47-P47</f>
        <v>0</v>
      </c>
      <c r="R47" s="397">
        <v>0</v>
      </c>
      <c r="S47" s="398">
        <f t="shared" si="0"/>
        <v>0</v>
      </c>
      <c r="T47" s="500"/>
    </row>
    <row r="48" spans="1:23" s="452" customFormat="1" ht="14" thickTop="1">
      <c r="A48" s="445" t="s">
        <v>45</v>
      </c>
      <c r="B48" s="720">
        <f t="shared" ref="B48:M48" si="10">(((((B11)+(B17))+(B23))+(B44))+(B46))+(B47)</f>
        <v>61718.619999999995</v>
      </c>
      <c r="C48" s="720">
        <f t="shared" si="10"/>
        <v>19846.72</v>
      </c>
      <c r="D48" s="446" t="e">
        <f t="shared" si="10"/>
        <v>#REF!</v>
      </c>
      <c r="E48" s="446" t="e">
        <f t="shared" si="10"/>
        <v>#REF!</v>
      </c>
      <c r="F48" s="446" t="e">
        <f t="shared" si="10"/>
        <v>#REF!</v>
      </c>
      <c r="G48" s="446" t="e">
        <f t="shared" si="10"/>
        <v>#REF!</v>
      </c>
      <c r="H48" s="446" t="e">
        <f t="shared" si="10"/>
        <v>#REF!</v>
      </c>
      <c r="I48" s="446" t="e">
        <f t="shared" si="10"/>
        <v>#REF!</v>
      </c>
      <c r="J48" s="446" t="e">
        <f t="shared" si="10"/>
        <v>#REF!</v>
      </c>
      <c r="K48" s="446" t="e">
        <f t="shared" si="10"/>
        <v>#REF!</v>
      </c>
      <c r="L48" s="446" t="e">
        <f t="shared" si="10"/>
        <v>#REF!</v>
      </c>
      <c r="M48" s="659" t="e">
        <f t="shared" si="10"/>
        <v>#REF!</v>
      </c>
      <c r="N48" s="643" t="e">
        <f>SUM(B48:M48)</f>
        <v>#REF!</v>
      </c>
      <c r="O48" s="449">
        <f>SUM(O11,O17,O23,O44,O46,O47)</f>
        <v>635600</v>
      </c>
      <c r="P48" s="446">
        <v>1179776.3799999999</v>
      </c>
      <c r="Q48" s="450" t="e">
        <f>N48-P48</f>
        <v>#REF!</v>
      </c>
      <c r="R48" s="449">
        <f>SUM(R11,R17,R23,R44,R46,R47)</f>
        <v>2472100</v>
      </c>
      <c r="S48" s="398">
        <f t="shared" si="0"/>
        <v>-1836500</v>
      </c>
      <c r="T48" s="505"/>
    </row>
    <row r="49" spans="1:20" s="267" customFormat="1" ht="13" customHeight="1">
      <c r="A49" s="442"/>
      <c r="B49" s="715"/>
      <c r="C49" s="715"/>
      <c r="D49" s="272"/>
      <c r="E49" s="272"/>
      <c r="F49" s="272"/>
      <c r="G49" s="272"/>
      <c r="H49" s="272"/>
      <c r="I49" s="272"/>
      <c r="J49" s="272"/>
      <c r="K49" s="272"/>
      <c r="L49" s="272"/>
      <c r="M49" s="656"/>
      <c r="N49" s="443"/>
      <c r="O49" s="444"/>
      <c r="P49" s="370"/>
      <c r="Q49" s="370"/>
      <c r="R49" s="370"/>
      <c r="S49" s="398">
        <f t="shared" si="0"/>
        <v>0</v>
      </c>
      <c r="T49" s="500"/>
    </row>
    <row r="50" spans="1:20" s="267" customFormat="1" ht="13">
      <c r="A50" s="419" t="s">
        <v>46</v>
      </c>
      <c r="B50" s="712"/>
      <c r="C50" s="731"/>
      <c r="D50" s="270"/>
      <c r="E50" s="270"/>
      <c r="F50" s="270"/>
      <c r="G50" s="270"/>
      <c r="H50" s="270"/>
      <c r="I50" s="270"/>
      <c r="J50" s="270"/>
      <c r="K50" s="270"/>
      <c r="L50" s="270"/>
      <c r="M50" s="653"/>
      <c r="N50" s="468"/>
      <c r="O50" s="397"/>
      <c r="P50" s="133"/>
      <c r="Q50" s="133"/>
      <c r="R50" s="133"/>
      <c r="S50" s="398">
        <f t="shared" si="0"/>
        <v>0</v>
      </c>
      <c r="T50" s="500"/>
    </row>
    <row r="51" spans="1:20" s="267" customFormat="1" ht="13">
      <c r="A51" s="419" t="s">
        <v>144</v>
      </c>
      <c r="B51" s="713"/>
      <c r="C51" s="732"/>
      <c r="D51" s="271"/>
      <c r="E51" s="271"/>
      <c r="F51" s="271"/>
      <c r="G51" s="271"/>
      <c r="H51" s="271"/>
      <c r="I51" s="271"/>
      <c r="J51" s="271"/>
      <c r="K51" s="271"/>
      <c r="L51" s="271"/>
      <c r="M51" s="654"/>
      <c r="N51" s="468"/>
      <c r="O51" s="397"/>
      <c r="P51" s="133"/>
      <c r="Q51" s="133"/>
      <c r="R51" s="133"/>
      <c r="S51" s="398">
        <f t="shared" si="0"/>
        <v>0</v>
      </c>
      <c r="T51" s="500"/>
    </row>
    <row r="52" spans="1:20" s="267" customFormat="1" ht="13">
      <c r="A52" s="420" t="s">
        <v>48</v>
      </c>
      <c r="B52" s="713">
        <v>252.97</v>
      </c>
      <c r="C52" s="713">
        <v>257.17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654">
        <v>400</v>
      </c>
      <c r="N52" s="468">
        <f t="shared" ref="N52:N60" si="11">SUM(B52:M52)</f>
        <v>4510.1399999999994</v>
      </c>
      <c r="O52" s="397">
        <v>4800</v>
      </c>
      <c r="P52" s="271">
        <v>3875.12</v>
      </c>
      <c r="Q52" s="274">
        <f>N52-P52</f>
        <v>635.01999999999953</v>
      </c>
      <c r="R52" s="397">
        <v>4800</v>
      </c>
      <c r="S52" s="398">
        <f t="shared" si="0"/>
        <v>0</v>
      </c>
      <c r="T52" s="500"/>
    </row>
    <row r="53" spans="1:20" s="527" customFormat="1" ht="26">
      <c r="A53" s="519" t="s">
        <v>145</v>
      </c>
      <c r="B53" s="717">
        <v>7843.25</v>
      </c>
      <c r="C53" s="717">
        <v>1295.56</v>
      </c>
      <c r="D53" s="520">
        <v>1000</v>
      </c>
      <c r="E53" s="520">
        <v>1000</v>
      </c>
      <c r="F53" s="520">
        <v>1000</v>
      </c>
      <c r="G53" s="520">
        <v>1000</v>
      </c>
      <c r="H53" s="520">
        <v>1000</v>
      </c>
      <c r="I53" s="520">
        <v>1000</v>
      </c>
      <c r="J53" s="520">
        <v>1000</v>
      </c>
      <c r="K53" s="520">
        <v>1000</v>
      </c>
      <c r="L53" s="520">
        <v>1000</v>
      </c>
      <c r="M53" s="658">
        <v>1000</v>
      </c>
      <c r="N53" s="642">
        <f t="shared" si="11"/>
        <v>19138.809999999998</v>
      </c>
      <c r="O53" s="523">
        <v>19000</v>
      </c>
      <c r="P53" s="521">
        <v>20722.400000000001</v>
      </c>
      <c r="Q53" s="524">
        <f t="shared" ref="Q53:Q60" si="12">N53-P53</f>
        <v>-1583.5900000000038</v>
      </c>
      <c r="R53" s="523">
        <v>38000</v>
      </c>
      <c r="S53" s="525">
        <f t="shared" si="0"/>
        <v>-19000</v>
      </c>
      <c r="T53" s="526" t="s">
        <v>245</v>
      </c>
    </row>
    <row r="54" spans="1:20" s="527" customFormat="1" ht="26">
      <c r="A54" s="519" t="s">
        <v>146</v>
      </c>
      <c r="B54" s="717">
        <v>1650.25</v>
      </c>
      <c r="C54" s="717">
        <v>1466.25</v>
      </c>
      <c r="D54" s="520">
        <v>2000</v>
      </c>
      <c r="E54" s="520">
        <v>2000</v>
      </c>
      <c r="F54" s="520">
        <v>2000</v>
      </c>
      <c r="G54" s="520">
        <v>2000</v>
      </c>
      <c r="H54" s="520">
        <v>2000</v>
      </c>
      <c r="I54" s="520">
        <v>2000</v>
      </c>
      <c r="J54" s="520">
        <v>2000</v>
      </c>
      <c r="K54" s="520">
        <v>2000</v>
      </c>
      <c r="L54" s="520">
        <v>2000</v>
      </c>
      <c r="M54" s="658">
        <v>2000</v>
      </c>
      <c r="N54" s="642">
        <f t="shared" si="11"/>
        <v>23116.5</v>
      </c>
      <c r="O54" s="523">
        <v>24000</v>
      </c>
      <c r="P54" s="521">
        <v>24074</v>
      </c>
      <c r="Q54" s="524">
        <f t="shared" si="12"/>
        <v>-957.5</v>
      </c>
      <c r="R54" s="523">
        <v>60000</v>
      </c>
      <c r="S54" s="525">
        <f t="shared" si="0"/>
        <v>-36000</v>
      </c>
      <c r="T54" s="526" t="s">
        <v>246</v>
      </c>
    </row>
    <row r="55" spans="1:20" s="267" customFormat="1" ht="13">
      <c r="A55" s="420" t="s">
        <v>147</v>
      </c>
      <c r="B55" s="713">
        <v>60.33</v>
      </c>
      <c r="C55" s="713">
        <v>60.33</v>
      </c>
      <c r="D55" s="278">
        <v>160</v>
      </c>
      <c r="E55" s="278">
        <v>160</v>
      </c>
      <c r="F55" s="278">
        <v>160</v>
      </c>
      <c r="G55" s="278">
        <v>160</v>
      </c>
      <c r="H55" s="278">
        <v>160</v>
      </c>
      <c r="I55" s="278">
        <v>160</v>
      </c>
      <c r="J55" s="278">
        <v>160</v>
      </c>
      <c r="K55" s="278">
        <v>160</v>
      </c>
      <c r="L55" s="278">
        <v>160</v>
      </c>
      <c r="M55" s="654">
        <v>160</v>
      </c>
      <c r="N55" s="468">
        <f t="shared" si="11"/>
        <v>1720.6599999999999</v>
      </c>
      <c r="O55" s="397">
        <v>3600</v>
      </c>
      <c r="P55" s="271">
        <v>4249.01</v>
      </c>
      <c r="Q55" s="274">
        <f t="shared" si="12"/>
        <v>-2528.3500000000004</v>
      </c>
      <c r="R55" s="397">
        <v>3600</v>
      </c>
      <c r="S55" s="398">
        <f t="shared" si="0"/>
        <v>0</v>
      </c>
      <c r="T55" s="500"/>
    </row>
    <row r="56" spans="1:20" s="267" customFormat="1" ht="13">
      <c r="A56" s="420" t="s">
        <v>148</v>
      </c>
      <c r="B56" s="713">
        <v>0</v>
      </c>
      <c r="C56" s="732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654">
        <v>0</v>
      </c>
      <c r="N56" s="468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397">
        <v>3000</v>
      </c>
      <c r="S56" s="398">
        <f t="shared" si="0"/>
        <v>0</v>
      </c>
      <c r="T56" s="500"/>
    </row>
    <row r="57" spans="1:20" s="267" customFormat="1" ht="13">
      <c r="A57" s="420" t="s">
        <v>149</v>
      </c>
      <c r="B57" s="713">
        <v>0</v>
      </c>
      <c r="C57" s="713">
        <v>0</v>
      </c>
      <c r="D57" s="278">
        <v>500</v>
      </c>
      <c r="E57" s="278">
        <v>0</v>
      </c>
      <c r="F57" s="278">
        <v>0</v>
      </c>
      <c r="G57" s="278">
        <v>500</v>
      </c>
      <c r="H57" s="278">
        <v>0</v>
      </c>
      <c r="I57" s="278">
        <v>0</v>
      </c>
      <c r="J57" s="278">
        <v>500</v>
      </c>
      <c r="K57" s="278">
        <v>0</v>
      </c>
      <c r="L57" s="278">
        <v>0</v>
      </c>
      <c r="M57" s="654">
        <v>500</v>
      </c>
      <c r="N57" s="468">
        <f>SUM(B57:M57)</f>
        <v>2000</v>
      </c>
      <c r="O57" s="397">
        <v>2000</v>
      </c>
      <c r="P57" s="271"/>
      <c r="Q57" s="274">
        <f t="shared" si="12"/>
        <v>2000</v>
      </c>
      <c r="R57" s="397">
        <v>6000</v>
      </c>
      <c r="S57" s="398">
        <f t="shared" si="0"/>
        <v>-4000</v>
      </c>
      <c r="T57" s="500"/>
    </row>
    <row r="58" spans="1:20" s="267" customFormat="1" ht="13">
      <c r="A58" s="420" t="s">
        <v>150</v>
      </c>
      <c r="B58" s="713">
        <v>1693.76</v>
      </c>
      <c r="C58" s="713">
        <v>3527.75</v>
      </c>
      <c r="D58" s="679">
        <v>722.5</v>
      </c>
      <c r="E58" s="679">
        <v>0</v>
      </c>
      <c r="F58" s="271">
        <v>0</v>
      </c>
      <c r="G58" s="748">
        <v>11000</v>
      </c>
      <c r="H58" s="748">
        <v>11500</v>
      </c>
      <c r="I58" s="748">
        <v>11500</v>
      </c>
      <c r="J58" s="748">
        <v>18000</v>
      </c>
      <c r="K58" s="748">
        <v>28000</v>
      </c>
      <c r="L58" s="271">
        <v>1000</v>
      </c>
      <c r="M58" s="654">
        <v>2000</v>
      </c>
      <c r="N58" s="468">
        <f t="shared" si="11"/>
        <v>88944.010000000009</v>
      </c>
      <c r="O58" s="397">
        <v>100000</v>
      </c>
      <c r="P58" s="271">
        <v>35418.75</v>
      </c>
      <c r="Q58" s="274">
        <f t="shared" si="12"/>
        <v>53525.260000000009</v>
      </c>
      <c r="R58" s="397">
        <v>123000</v>
      </c>
      <c r="S58" s="398">
        <f t="shared" si="0"/>
        <v>-23000</v>
      </c>
      <c r="T58" s="500"/>
    </row>
    <row r="59" spans="1:20" s="267" customFormat="1" ht="13">
      <c r="A59" s="420" t="s">
        <v>151</v>
      </c>
      <c r="B59" s="713">
        <v>0</v>
      </c>
      <c r="C59" s="732">
        <v>398.92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654">
        <v>0</v>
      </c>
      <c r="N59" s="468">
        <f t="shared" si="11"/>
        <v>3398.92</v>
      </c>
      <c r="O59" s="397">
        <v>3000</v>
      </c>
      <c r="P59" s="271">
        <v>2665.37</v>
      </c>
      <c r="Q59" s="274">
        <f t="shared" si="12"/>
        <v>733.55000000000018</v>
      </c>
      <c r="R59" s="397">
        <v>3000</v>
      </c>
      <c r="S59" s="398">
        <f t="shared" si="0"/>
        <v>0</v>
      </c>
      <c r="T59" s="500"/>
    </row>
    <row r="60" spans="1:20" s="267" customFormat="1" ht="13">
      <c r="A60" s="423" t="s">
        <v>152</v>
      </c>
      <c r="B60" s="721">
        <f t="shared" ref="B60:M60" si="13">SUM(B52:B59)</f>
        <v>11500.560000000001</v>
      </c>
      <c r="C60" s="724">
        <f t="shared" si="13"/>
        <v>7005.98</v>
      </c>
      <c r="D60" s="469">
        <f t="shared" si="13"/>
        <v>4782.5</v>
      </c>
      <c r="E60" s="469">
        <f t="shared" si="13"/>
        <v>3560</v>
      </c>
      <c r="F60" s="469">
        <f t="shared" si="13"/>
        <v>3560</v>
      </c>
      <c r="G60" s="469">
        <f t="shared" si="13"/>
        <v>15060</v>
      </c>
      <c r="H60" s="469">
        <f t="shared" si="13"/>
        <v>15060</v>
      </c>
      <c r="I60" s="469">
        <f t="shared" si="13"/>
        <v>18060</v>
      </c>
      <c r="J60" s="469">
        <f t="shared" si="13"/>
        <v>22060</v>
      </c>
      <c r="K60" s="469">
        <f t="shared" si="13"/>
        <v>34560</v>
      </c>
      <c r="L60" s="469">
        <f t="shared" si="13"/>
        <v>4560</v>
      </c>
      <c r="M60" s="660">
        <f t="shared" si="13"/>
        <v>6060</v>
      </c>
      <c r="N60" s="467">
        <f t="shared" si="11"/>
        <v>145829.04</v>
      </c>
      <c r="O60" s="406">
        <f>SUM(O52:O59)</f>
        <v>159400</v>
      </c>
      <c r="P60" s="469">
        <v>91929.239999999991</v>
      </c>
      <c r="Q60" s="469">
        <f t="shared" si="12"/>
        <v>53899.800000000017</v>
      </c>
      <c r="R60" s="401">
        <f>SUM(R52:R59)</f>
        <v>241400</v>
      </c>
      <c r="S60" s="398">
        <f t="shared" si="0"/>
        <v>-82000</v>
      </c>
      <c r="T60" s="500"/>
    </row>
    <row r="61" spans="1:20" s="267" customFormat="1" ht="6" customHeight="1">
      <c r="A61" s="419"/>
      <c r="B61" s="715"/>
      <c r="C61" s="715"/>
      <c r="D61" s="272"/>
      <c r="E61" s="272"/>
      <c r="F61" s="272"/>
      <c r="G61" s="272"/>
      <c r="H61" s="272"/>
      <c r="I61" s="272"/>
      <c r="J61" s="272"/>
      <c r="K61" s="272"/>
      <c r="L61" s="272"/>
      <c r="M61" s="656"/>
      <c r="N61" s="468"/>
      <c r="O61" s="397"/>
      <c r="P61" s="133"/>
      <c r="Q61" s="133"/>
      <c r="R61" s="133"/>
      <c r="S61" s="398">
        <f t="shared" si="0"/>
        <v>0</v>
      </c>
      <c r="T61" s="500"/>
    </row>
    <row r="62" spans="1:20" s="267" customFormat="1" ht="13">
      <c r="A62" s="419" t="s">
        <v>153</v>
      </c>
      <c r="B62" s="722"/>
      <c r="C62" s="733"/>
      <c r="D62" s="273"/>
      <c r="E62" s="273"/>
      <c r="F62" s="273"/>
      <c r="G62" s="273"/>
      <c r="H62" s="273"/>
      <c r="I62" s="273"/>
      <c r="J62" s="273"/>
      <c r="K62" s="273"/>
      <c r="L62" s="273"/>
      <c r="M62" s="657"/>
      <c r="N62" s="468"/>
      <c r="O62" s="397"/>
      <c r="P62" s="133"/>
      <c r="Q62" s="133"/>
      <c r="R62" s="133"/>
      <c r="S62" s="398">
        <f t="shared" si="0"/>
        <v>0</v>
      </c>
      <c r="T62" s="500"/>
    </row>
    <row r="63" spans="1:20" s="267" customFormat="1" ht="13">
      <c r="A63" s="420" t="s">
        <v>154</v>
      </c>
      <c r="B63" s="713">
        <v>4710.08</v>
      </c>
      <c r="C63" s="713">
        <f>15982.07+5250</f>
        <v>21232.07</v>
      </c>
      <c r="D63" s="278">
        <v>3347.5</v>
      </c>
      <c r="E63" s="278"/>
      <c r="F63" s="278"/>
      <c r="G63" s="278"/>
      <c r="H63" s="278"/>
      <c r="I63" s="278"/>
      <c r="J63" s="278"/>
      <c r="K63" s="278"/>
      <c r="L63" s="278"/>
      <c r="M63" s="654"/>
      <c r="N63" s="467"/>
      <c r="O63" s="406">
        <v>85000</v>
      </c>
      <c r="P63" s="271">
        <v>49969.65</v>
      </c>
      <c r="Q63" s="274">
        <f>N63-P63</f>
        <v>-49969.65</v>
      </c>
      <c r="R63" s="274"/>
      <c r="S63" s="398">
        <f t="shared" si="0"/>
        <v>85000</v>
      </c>
      <c r="T63" s="500"/>
    </row>
    <row r="64" spans="1:20" s="267" customFormat="1" ht="13">
      <c r="A64" s="571" t="s">
        <v>155</v>
      </c>
      <c r="B64" s="713">
        <v>0</v>
      </c>
      <c r="C64" s="713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0</v>
      </c>
      <c r="I64" s="278">
        <v>0</v>
      </c>
      <c r="J64" s="278">
        <v>0</v>
      </c>
      <c r="K64" s="278">
        <v>0</v>
      </c>
      <c r="L64" s="278">
        <v>0</v>
      </c>
      <c r="M64" s="654">
        <v>0</v>
      </c>
      <c r="N64" s="467">
        <f>SUM(B64:M64)</f>
        <v>0</v>
      </c>
      <c r="O64" s="397">
        <v>0</v>
      </c>
      <c r="P64" s="271"/>
      <c r="Q64" s="274"/>
      <c r="R64" s="669">
        <v>24000</v>
      </c>
      <c r="S64" s="398">
        <f t="shared" si="0"/>
        <v>-24000</v>
      </c>
      <c r="T64" s="500"/>
    </row>
    <row r="65" spans="1:23" s="267" customFormat="1" ht="13">
      <c r="A65" s="571" t="s">
        <v>156</v>
      </c>
      <c r="B65" s="713"/>
      <c r="C65" s="713"/>
      <c r="D65" s="278"/>
      <c r="E65" s="278"/>
      <c r="F65" s="278"/>
      <c r="G65" s="278"/>
      <c r="H65" s="278"/>
      <c r="I65" s="278"/>
      <c r="J65" s="278"/>
      <c r="K65" s="278"/>
      <c r="L65" s="278"/>
      <c r="M65" s="654">
        <v>0</v>
      </c>
      <c r="N65" s="468">
        <f t="shared" ref="N65:N75" si="14">SUM(B65:M65)</f>
        <v>0</v>
      </c>
      <c r="O65" s="397">
        <v>0</v>
      </c>
      <c r="P65" s="271"/>
      <c r="Q65" s="133"/>
      <c r="R65" s="669">
        <v>13200</v>
      </c>
      <c r="S65" s="398">
        <f t="shared" si="0"/>
        <v>-13200</v>
      </c>
      <c r="T65" s="500"/>
    </row>
    <row r="66" spans="1:23" s="527" customFormat="1" ht="26">
      <c r="A66" s="491" t="s">
        <v>247</v>
      </c>
      <c r="B66" s="717"/>
      <c r="C66" s="717">
        <v>0</v>
      </c>
      <c r="D66" s="520">
        <v>0</v>
      </c>
      <c r="E66" s="520">
        <v>0</v>
      </c>
      <c r="F66" s="520">
        <v>1500</v>
      </c>
      <c r="G66" s="520">
        <v>0</v>
      </c>
      <c r="H66" s="520">
        <v>1500</v>
      </c>
      <c r="I66" s="520">
        <v>0</v>
      </c>
      <c r="J66" s="520">
        <v>1500</v>
      </c>
      <c r="K66" s="520">
        <v>0</v>
      </c>
      <c r="L66" s="520">
        <v>1500</v>
      </c>
      <c r="M66" s="658">
        <v>0</v>
      </c>
      <c r="N66" s="642">
        <f t="shared" si="14"/>
        <v>6000</v>
      </c>
      <c r="O66" s="523">
        <v>0</v>
      </c>
      <c r="P66" s="521"/>
      <c r="Q66" s="530"/>
      <c r="R66" s="671">
        <v>36000</v>
      </c>
      <c r="S66" s="525">
        <f t="shared" si="0"/>
        <v>-36000</v>
      </c>
      <c r="T66" s="526" t="s">
        <v>248</v>
      </c>
    </row>
    <row r="67" spans="1:23" s="527" customFormat="1" ht="13">
      <c r="A67" s="491" t="s">
        <v>249</v>
      </c>
      <c r="B67" s="717"/>
      <c r="C67" s="717">
        <v>0</v>
      </c>
      <c r="D67" s="520">
        <v>500</v>
      </c>
      <c r="E67" s="520">
        <v>500</v>
      </c>
      <c r="F67" s="520">
        <v>500</v>
      </c>
      <c r="G67" s="520">
        <v>500</v>
      </c>
      <c r="H67" s="520">
        <v>500</v>
      </c>
      <c r="I67" s="520">
        <v>500</v>
      </c>
      <c r="J67" s="520">
        <v>500</v>
      </c>
      <c r="K67" s="520">
        <v>500</v>
      </c>
      <c r="L67" s="520">
        <v>500</v>
      </c>
      <c r="M67" s="658">
        <v>500</v>
      </c>
      <c r="N67" s="642">
        <f t="shared" si="14"/>
        <v>5000</v>
      </c>
      <c r="O67" s="523">
        <v>0</v>
      </c>
      <c r="P67" s="521"/>
      <c r="Q67" s="530"/>
      <c r="R67" s="671"/>
      <c r="S67" s="525"/>
      <c r="T67" s="526"/>
    </row>
    <row r="68" spans="1:23" s="527" customFormat="1" ht="26">
      <c r="A68" s="519" t="s">
        <v>250</v>
      </c>
      <c r="B68" s="717"/>
      <c r="C68" s="717">
        <v>0</v>
      </c>
      <c r="D68" s="520">
        <v>500</v>
      </c>
      <c r="E68" s="520">
        <v>500</v>
      </c>
      <c r="F68" s="520">
        <v>500</v>
      </c>
      <c r="G68" s="520">
        <v>500</v>
      </c>
      <c r="H68" s="520">
        <v>500</v>
      </c>
      <c r="I68" s="520">
        <v>500</v>
      </c>
      <c r="J68" s="520">
        <v>500</v>
      </c>
      <c r="K68" s="520">
        <v>500</v>
      </c>
      <c r="L68" s="520">
        <v>500</v>
      </c>
      <c r="M68" s="658">
        <v>500</v>
      </c>
      <c r="N68" s="642">
        <f t="shared" si="14"/>
        <v>5000</v>
      </c>
      <c r="O68" s="523">
        <v>0</v>
      </c>
      <c r="P68" s="521"/>
      <c r="Q68" s="530"/>
      <c r="R68" s="671">
        <v>12000</v>
      </c>
      <c r="S68" s="525">
        <f t="shared" si="0"/>
        <v>-12000</v>
      </c>
      <c r="T68" s="526" t="s">
        <v>251</v>
      </c>
    </row>
    <row r="69" spans="1:23" s="527" customFormat="1" ht="22.5" customHeight="1">
      <c r="A69" s="519" t="s">
        <v>252</v>
      </c>
      <c r="B69" s="717">
        <v>0</v>
      </c>
      <c r="C69" s="734">
        <v>0</v>
      </c>
      <c r="D69" s="672">
        <v>0</v>
      </c>
      <c r="E69" s="672">
        <v>0</v>
      </c>
      <c r="F69" s="672">
        <v>0</v>
      </c>
      <c r="G69" s="672">
        <v>0</v>
      </c>
      <c r="H69" s="672">
        <v>0</v>
      </c>
      <c r="I69" s="672">
        <v>0</v>
      </c>
      <c r="J69" s="672">
        <v>0</v>
      </c>
      <c r="K69" s="520">
        <v>0</v>
      </c>
      <c r="L69" s="520">
        <v>0</v>
      </c>
      <c r="M69" s="658">
        <v>0</v>
      </c>
      <c r="N69" s="642">
        <f>SUM(B69:M69)</f>
        <v>0</v>
      </c>
      <c r="O69" s="523">
        <v>0</v>
      </c>
      <c r="P69" s="521"/>
      <c r="Q69" s="530"/>
      <c r="R69" s="671">
        <v>16300</v>
      </c>
      <c r="S69" s="525">
        <f t="shared" si="0"/>
        <v>-16300</v>
      </c>
      <c r="T69" s="526"/>
    </row>
    <row r="70" spans="1:23" s="527" customFormat="1" ht="26">
      <c r="A70" s="519" t="s">
        <v>253</v>
      </c>
      <c r="B70" s="717">
        <v>0</v>
      </c>
      <c r="C70" s="717">
        <v>0</v>
      </c>
      <c r="D70" s="520">
        <v>6000</v>
      </c>
      <c r="E70" s="520">
        <v>7245</v>
      </c>
      <c r="F70" s="520">
        <v>0</v>
      </c>
      <c r="G70" s="520">
        <v>0</v>
      </c>
      <c r="H70" s="520">
        <v>1000</v>
      </c>
      <c r="I70" s="520">
        <v>1000</v>
      </c>
      <c r="J70" s="520">
        <v>1000</v>
      </c>
      <c r="K70" s="520">
        <v>1000</v>
      </c>
      <c r="L70" s="520">
        <v>1000</v>
      </c>
      <c r="M70" s="658">
        <v>1000</v>
      </c>
      <c r="N70" s="642">
        <f t="shared" si="14"/>
        <v>19245</v>
      </c>
      <c r="O70" s="523">
        <v>0</v>
      </c>
      <c r="P70" s="521"/>
      <c r="Q70" s="543"/>
      <c r="R70" s="671">
        <v>12000</v>
      </c>
      <c r="S70" s="525">
        <f t="shared" ref="S70:S133" si="15">O70-R70</f>
        <v>-12000</v>
      </c>
      <c r="T70" s="526" t="s">
        <v>251</v>
      </c>
    </row>
    <row r="71" spans="1:23" s="527" customFormat="1" ht="65">
      <c r="A71" s="519" t="s">
        <v>165</v>
      </c>
      <c r="B71" s="717"/>
      <c r="C71" s="717">
        <v>1286.25</v>
      </c>
      <c r="D71" s="520">
        <v>797.5</v>
      </c>
      <c r="E71" s="520">
        <v>500</v>
      </c>
      <c r="F71" s="520">
        <v>500</v>
      </c>
      <c r="G71" s="520">
        <v>500</v>
      </c>
      <c r="H71" s="520">
        <v>500</v>
      </c>
      <c r="I71" s="520">
        <v>500</v>
      </c>
      <c r="J71" s="520">
        <v>500</v>
      </c>
      <c r="K71" s="520">
        <v>500</v>
      </c>
      <c r="L71" s="520">
        <v>500</v>
      </c>
      <c r="M71" s="658">
        <v>500</v>
      </c>
      <c r="N71" s="642">
        <f t="shared" si="14"/>
        <v>6583.75</v>
      </c>
      <c r="O71" s="523">
        <v>7000</v>
      </c>
      <c r="P71" s="521">
        <v>40075.839999999997</v>
      </c>
      <c r="Q71" s="524">
        <f>N71-P71</f>
        <v>-33492.089999999997</v>
      </c>
      <c r="R71" s="671">
        <v>21000</v>
      </c>
      <c r="S71" s="525">
        <f t="shared" si="15"/>
        <v>-14000</v>
      </c>
      <c r="T71" s="526" t="s">
        <v>254</v>
      </c>
    </row>
    <row r="72" spans="1:23" s="267" customFormat="1" ht="12" customHeight="1">
      <c r="A72" s="420" t="s">
        <v>297</v>
      </c>
      <c r="B72" s="713">
        <v>0</v>
      </c>
      <c r="C72" s="713">
        <v>0</v>
      </c>
      <c r="D72" s="278">
        <v>250</v>
      </c>
      <c r="E72" s="278">
        <v>0</v>
      </c>
      <c r="F72" s="278">
        <v>0</v>
      </c>
      <c r="G72" s="278">
        <v>250</v>
      </c>
      <c r="H72" s="278">
        <v>0</v>
      </c>
      <c r="I72" s="278">
        <v>0</v>
      </c>
      <c r="J72" s="278">
        <v>250</v>
      </c>
      <c r="K72" s="278">
        <v>0</v>
      </c>
      <c r="L72" s="278">
        <v>0</v>
      </c>
      <c r="M72" s="654">
        <v>250</v>
      </c>
      <c r="N72" s="468">
        <f t="shared" si="14"/>
        <v>1000</v>
      </c>
      <c r="O72" s="397">
        <v>1000</v>
      </c>
      <c r="P72" s="271">
        <v>6621.17</v>
      </c>
      <c r="Q72" s="274">
        <f t="shared" ref="Q72:Q76" si="16">N72-P72</f>
        <v>-5621.17</v>
      </c>
      <c r="R72" s="669">
        <v>3000</v>
      </c>
      <c r="S72" s="398">
        <f t="shared" si="15"/>
        <v>-2000</v>
      </c>
      <c r="T72" s="500"/>
    </row>
    <row r="73" spans="1:23" s="267" customFormat="1" ht="13">
      <c r="A73" s="420" t="s">
        <v>168</v>
      </c>
      <c r="B73" s="713">
        <v>0</v>
      </c>
      <c r="C73" s="713">
        <v>61.64</v>
      </c>
      <c r="D73" s="278">
        <v>0</v>
      </c>
      <c r="E73" s="278">
        <v>0</v>
      </c>
      <c r="F73" s="278">
        <v>2000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2000</v>
      </c>
      <c r="M73" s="654">
        <v>0</v>
      </c>
      <c r="N73" s="468">
        <f t="shared" si="14"/>
        <v>4061.64</v>
      </c>
      <c r="O73" s="397">
        <v>4000</v>
      </c>
      <c r="P73" s="271">
        <v>2425.1099999999997</v>
      </c>
      <c r="Q73" s="274">
        <f t="shared" si="16"/>
        <v>1636.5300000000002</v>
      </c>
      <c r="R73" s="669">
        <v>10000</v>
      </c>
      <c r="S73" s="398">
        <f t="shared" si="15"/>
        <v>-6000</v>
      </c>
      <c r="T73" s="500"/>
    </row>
    <row r="74" spans="1:23" s="267" customFormat="1" ht="26">
      <c r="A74" s="420" t="s">
        <v>54</v>
      </c>
      <c r="B74" s="713">
        <v>8.4</v>
      </c>
      <c r="C74" s="713">
        <v>0</v>
      </c>
      <c r="D74" s="278">
        <v>1000</v>
      </c>
      <c r="E74" s="278">
        <v>1000</v>
      </c>
      <c r="F74" s="278">
        <v>1000</v>
      </c>
      <c r="G74" s="278">
        <v>1000</v>
      </c>
      <c r="H74" s="278">
        <v>1000</v>
      </c>
      <c r="I74" s="278">
        <v>1000</v>
      </c>
      <c r="J74" s="278">
        <v>1000</v>
      </c>
      <c r="K74" s="278">
        <v>1000</v>
      </c>
      <c r="L74" s="278">
        <v>2000</v>
      </c>
      <c r="M74" s="654">
        <v>1000</v>
      </c>
      <c r="N74" s="468">
        <f t="shared" si="14"/>
        <v>11008.4</v>
      </c>
      <c r="O74" s="397">
        <v>18000</v>
      </c>
      <c r="P74" s="271">
        <v>23942.32</v>
      </c>
      <c r="Q74" s="274">
        <f t="shared" si="16"/>
        <v>-12933.92</v>
      </c>
      <c r="R74" s="669">
        <v>48000</v>
      </c>
      <c r="S74" s="398">
        <f t="shared" si="15"/>
        <v>-30000</v>
      </c>
      <c r="T74" s="500" t="s">
        <v>255</v>
      </c>
    </row>
    <row r="75" spans="1:23" s="267" customFormat="1" ht="13">
      <c r="A75" s="420" t="s">
        <v>56</v>
      </c>
      <c r="B75" s="713">
        <v>-2589.8000000000002</v>
      </c>
      <c r="C75" s="713">
        <f>63.92+357.77</f>
        <v>421.69</v>
      </c>
      <c r="D75" s="278">
        <v>400</v>
      </c>
      <c r="E75" s="278">
        <v>400</v>
      </c>
      <c r="F75" s="278">
        <v>400</v>
      </c>
      <c r="G75" s="278">
        <v>400</v>
      </c>
      <c r="H75" s="278">
        <v>400</v>
      </c>
      <c r="I75" s="278">
        <v>400</v>
      </c>
      <c r="J75" s="278">
        <v>3000</v>
      </c>
      <c r="K75" s="278">
        <v>400</v>
      </c>
      <c r="L75" s="278">
        <v>400</v>
      </c>
      <c r="M75" s="654">
        <v>400</v>
      </c>
      <c r="N75" s="468">
        <f t="shared" si="14"/>
        <v>4431.8899999999994</v>
      </c>
      <c r="O75" s="397">
        <v>5000</v>
      </c>
      <c r="P75" s="271">
        <v>13154.77</v>
      </c>
      <c r="Q75" s="274">
        <f t="shared" si="16"/>
        <v>-8722.880000000001</v>
      </c>
      <c r="R75" s="669">
        <v>14200</v>
      </c>
      <c r="S75" s="398">
        <f t="shared" si="15"/>
        <v>-9200</v>
      </c>
      <c r="T75" s="500"/>
    </row>
    <row r="76" spans="1:23" s="267" customFormat="1" ht="13">
      <c r="A76" s="423" t="s">
        <v>169</v>
      </c>
      <c r="B76" s="721">
        <f t="shared" ref="B76:M76" si="17">SUM(B63:B75)</f>
        <v>2128.6799999999994</v>
      </c>
      <c r="C76" s="724">
        <f t="shared" si="17"/>
        <v>23001.649999999998</v>
      </c>
      <c r="D76" s="469">
        <f t="shared" si="17"/>
        <v>12795</v>
      </c>
      <c r="E76" s="469">
        <f t="shared" si="17"/>
        <v>10145</v>
      </c>
      <c r="F76" s="469">
        <f t="shared" si="17"/>
        <v>6400</v>
      </c>
      <c r="G76" s="469">
        <f t="shared" si="17"/>
        <v>3150</v>
      </c>
      <c r="H76" s="469">
        <f t="shared" si="17"/>
        <v>5400</v>
      </c>
      <c r="I76" s="469">
        <f t="shared" si="17"/>
        <v>3900</v>
      </c>
      <c r="J76" s="469">
        <f t="shared" si="17"/>
        <v>8250</v>
      </c>
      <c r="K76" s="469">
        <f t="shared" si="17"/>
        <v>3900</v>
      </c>
      <c r="L76" s="469">
        <f t="shared" si="17"/>
        <v>8400</v>
      </c>
      <c r="M76" s="660">
        <f t="shared" si="17"/>
        <v>4150</v>
      </c>
      <c r="N76" s="644">
        <f>SUM(B76:M76)</f>
        <v>91620.33</v>
      </c>
      <c r="O76" s="406">
        <f>SUM(O63:O75)</f>
        <v>120000</v>
      </c>
      <c r="P76" s="469">
        <v>137632.61999999997</v>
      </c>
      <c r="Q76" s="469">
        <f t="shared" si="16"/>
        <v>-46012.289999999964</v>
      </c>
      <c r="R76" s="670">
        <v>209700</v>
      </c>
      <c r="S76" s="398">
        <f t="shared" si="15"/>
        <v>-89700</v>
      </c>
      <c r="T76" s="503"/>
      <c r="U76" s="369"/>
      <c r="V76" s="369"/>
      <c r="W76" s="369"/>
    </row>
    <row r="77" spans="1:23" s="267" customFormat="1" ht="10" customHeight="1">
      <c r="A77" s="419"/>
      <c r="B77" s="715"/>
      <c r="C77" s="715"/>
      <c r="D77" s="272"/>
      <c r="E77" s="272"/>
      <c r="F77" s="272"/>
      <c r="G77" s="272"/>
      <c r="H77" s="272"/>
      <c r="I77" s="272"/>
      <c r="J77" s="272"/>
      <c r="K77" s="272"/>
      <c r="L77" s="272"/>
      <c r="M77" s="656"/>
      <c r="N77" s="468"/>
      <c r="O77" s="397"/>
      <c r="P77" s="370"/>
      <c r="Q77" s="370"/>
      <c r="R77" s="370"/>
      <c r="S77" s="398">
        <f t="shared" si="15"/>
        <v>0</v>
      </c>
      <c r="T77" s="503"/>
      <c r="U77" s="369"/>
      <c r="V77" s="369"/>
      <c r="W77" s="369"/>
    </row>
    <row r="78" spans="1:23" s="267" customFormat="1" ht="13">
      <c r="A78" s="419" t="s">
        <v>170</v>
      </c>
      <c r="B78" s="713"/>
      <c r="C78" s="732"/>
      <c r="D78" s="271"/>
      <c r="E78" s="271"/>
      <c r="F78" s="271"/>
      <c r="G78" s="271"/>
      <c r="H78" s="271"/>
      <c r="I78" s="271"/>
      <c r="J78" s="271"/>
      <c r="K78" s="271"/>
      <c r="L78" s="271"/>
      <c r="M78" s="654"/>
      <c r="N78" s="468"/>
      <c r="O78" s="397"/>
      <c r="P78" s="370"/>
      <c r="Q78" s="370"/>
      <c r="R78" s="370"/>
      <c r="S78" s="398">
        <f t="shared" si="15"/>
        <v>0</v>
      </c>
      <c r="T78" s="506"/>
      <c r="U78" s="268"/>
      <c r="V78" s="268"/>
      <c r="W78" s="369"/>
    </row>
    <row r="79" spans="1:23" s="267" customFormat="1" ht="13">
      <c r="A79" s="420" t="s">
        <v>67</v>
      </c>
      <c r="B79" s="713">
        <v>0</v>
      </c>
      <c r="C79" s="713">
        <v>0</v>
      </c>
      <c r="D79" s="278">
        <v>0</v>
      </c>
      <c r="E79" s="278">
        <v>0</v>
      </c>
      <c r="F79" s="278">
        <v>0</v>
      </c>
      <c r="G79" s="278">
        <v>0</v>
      </c>
      <c r="H79" s="278">
        <v>0</v>
      </c>
      <c r="I79" s="278">
        <v>0</v>
      </c>
      <c r="J79" s="278">
        <v>0</v>
      </c>
      <c r="K79" s="278">
        <v>0</v>
      </c>
      <c r="L79" s="278">
        <v>0</v>
      </c>
      <c r="M79" s="654">
        <v>0</v>
      </c>
      <c r="N79" s="468">
        <f t="shared" ref="N79:N86" si="18">SUM(B79:M79)</f>
        <v>0</v>
      </c>
      <c r="O79" s="397">
        <v>21500</v>
      </c>
      <c r="P79" s="271">
        <v>5000</v>
      </c>
      <c r="Q79" s="286">
        <f>N79-P79</f>
        <v>-5000</v>
      </c>
      <c r="R79" s="397">
        <v>21500</v>
      </c>
      <c r="S79" s="398">
        <f t="shared" si="15"/>
        <v>0</v>
      </c>
      <c r="T79" s="506"/>
      <c r="U79" s="268"/>
      <c r="V79" s="268"/>
      <c r="W79" s="369"/>
    </row>
    <row r="80" spans="1:23" s="267" customFormat="1" ht="13">
      <c r="A80" s="420" t="s">
        <v>68</v>
      </c>
      <c r="B80" s="713">
        <v>0</v>
      </c>
      <c r="C80" s="713">
        <v>0</v>
      </c>
      <c r="D80" s="278">
        <v>0</v>
      </c>
      <c r="E80" s="278">
        <v>0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0</v>
      </c>
      <c r="L80" s="278">
        <v>0</v>
      </c>
      <c r="M80" s="654">
        <v>0</v>
      </c>
      <c r="N80" s="468">
        <f t="shared" si="18"/>
        <v>0</v>
      </c>
      <c r="O80" s="397">
        <v>4500</v>
      </c>
      <c r="P80" s="271">
        <v>0</v>
      </c>
      <c r="Q80" s="286">
        <f t="shared" ref="Q80:Q85" si="19">N80-P80</f>
        <v>0</v>
      </c>
      <c r="R80" s="397">
        <v>4500</v>
      </c>
      <c r="S80" s="398">
        <f t="shared" si="15"/>
        <v>0</v>
      </c>
      <c r="T80" s="506"/>
      <c r="U80" s="268"/>
      <c r="V80" s="268"/>
      <c r="W80" s="369"/>
    </row>
    <row r="81" spans="1:23" s="267" customFormat="1" ht="13">
      <c r="A81" s="420" t="s">
        <v>69</v>
      </c>
      <c r="B81" s="713">
        <v>0</v>
      </c>
      <c r="C81" s="713">
        <v>0</v>
      </c>
      <c r="D81" s="278">
        <v>0</v>
      </c>
      <c r="E81" s="278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654">
        <v>0</v>
      </c>
      <c r="N81" s="468">
        <f t="shared" si="18"/>
        <v>0</v>
      </c>
      <c r="O81" s="397">
        <v>18000</v>
      </c>
      <c r="P81" s="271">
        <v>7500</v>
      </c>
      <c r="Q81" s="286">
        <f t="shared" si="19"/>
        <v>-7500</v>
      </c>
      <c r="R81" s="397">
        <v>18000</v>
      </c>
      <c r="S81" s="398">
        <f t="shared" si="15"/>
        <v>0</v>
      </c>
      <c r="T81" s="506"/>
      <c r="U81" s="268"/>
      <c r="V81" s="268"/>
      <c r="W81" s="369"/>
    </row>
    <row r="82" spans="1:23" s="267" customFormat="1" ht="13">
      <c r="A82" s="420" t="s">
        <v>70</v>
      </c>
      <c r="B82" s="713">
        <v>0</v>
      </c>
      <c r="C82" s="713">
        <v>0</v>
      </c>
      <c r="D82" s="278">
        <v>0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654">
        <v>0</v>
      </c>
      <c r="N82" s="468">
        <f t="shared" si="18"/>
        <v>0</v>
      </c>
      <c r="O82" s="397">
        <v>0</v>
      </c>
      <c r="P82" s="271">
        <v>0</v>
      </c>
      <c r="Q82" s="286">
        <f t="shared" si="19"/>
        <v>0</v>
      </c>
      <c r="R82" s="397">
        <v>0</v>
      </c>
      <c r="S82" s="398">
        <f t="shared" si="15"/>
        <v>0</v>
      </c>
      <c r="T82" s="506"/>
      <c r="U82" s="268"/>
      <c r="V82" s="268"/>
      <c r="W82" s="369"/>
    </row>
    <row r="83" spans="1:23" s="267" customFormat="1" ht="13">
      <c r="A83" s="420" t="s">
        <v>71</v>
      </c>
      <c r="B83" s="713">
        <v>0</v>
      </c>
      <c r="C83" s="713">
        <v>0</v>
      </c>
      <c r="D83" s="278">
        <v>0</v>
      </c>
      <c r="E83" s="278">
        <v>0</v>
      </c>
      <c r="F83" s="278">
        <v>0</v>
      </c>
      <c r="G83" s="278">
        <v>0</v>
      </c>
      <c r="H83" s="278">
        <v>0</v>
      </c>
      <c r="I83" s="278">
        <v>0</v>
      </c>
      <c r="J83" s="278">
        <v>0</v>
      </c>
      <c r="K83" s="278">
        <v>0</v>
      </c>
      <c r="L83" s="278">
        <v>0</v>
      </c>
      <c r="M83" s="654">
        <v>0</v>
      </c>
      <c r="N83" s="468">
        <f t="shared" si="18"/>
        <v>0</v>
      </c>
      <c r="O83" s="397">
        <v>12900</v>
      </c>
      <c r="P83" s="271">
        <v>0</v>
      </c>
      <c r="Q83" s="286">
        <f t="shared" si="19"/>
        <v>0</v>
      </c>
      <c r="R83" s="397">
        <v>12900</v>
      </c>
      <c r="S83" s="398">
        <f t="shared" si="15"/>
        <v>0</v>
      </c>
      <c r="T83" s="506"/>
      <c r="U83" s="268"/>
      <c r="V83" s="268"/>
      <c r="W83" s="369"/>
    </row>
    <row r="84" spans="1:23" s="267" customFormat="1" ht="13">
      <c r="A84" s="420" t="s">
        <v>72</v>
      </c>
      <c r="B84" s="713">
        <v>0</v>
      </c>
      <c r="C84" s="713">
        <v>0</v>
      </c>
      <c r="D84" s="278">
        <v>0</v>
      </c>
      <c r="E84" s="278">
        <v>0</v>
      </c>
      <c r="F84" s="278">
        <v>0</v>
      </c>
      <c r="G84" s="278">
        <v>0</v>
      </c>
      <c r="H84" s="278">
        <v>0</v>
      </c>
      <c r="I84" s="278">
        <v>0</v>
      </c>
      <c r="J84" s="278">
        <v>0</v>
      </c>
      <c r="K84" s="278">
        <v>0</v>
      </c>
      <c r="L84" s="278">
        <v>0</v>
      </c>
      <c r="M84" s="654">
        <v>0</v>
      </c>
      <c r="N84" s="468">
        <f t="shared" si="18"/>
        <v>0</v>
      </c>
      <c r="O84" s="397">
        <v>25200</v>
      </c>
      <c r="P84" s="271">
        <v>0</v>
      </c>
      <c r="Q84" s="286">
        <f t="shared" si="19"/>
        <v>0</v>
      </c>
      <c r="R84" s="397">
        <v>25200</v>
      </c>
      <c r="S84" s="398">
        <f t="shared" si="15"/>
        <v>0</v>
      </c>
      <c r="T84" s="506"/>
      <c r="U84" s="268"/>
      <c r="V84" s="268"/>
      <c r="W84" s="369"/>
    </row>
    <row r="85" spans="1:23" s="267" customFormat="1" ht="13">
      <c r="A85" s="420" t="s">
        <v>73</v>
      </c>
      <c r="B85" s="713">
        <v>0</v>
      </c>
      <c r="C85" s="713">
        <v>0</v>
      </c>
      <c r="D85" s="278">
        <v>0</v>
      </c>
      <c r="E85" s="278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654">
        <v>0</v>
      </c>
      <c r="N85" s="468">
        <f t="shared" si="18"/>
        <v>0</v>
      </c>
      <c r="O85" s="397">
        <v>27000</v>
      </c>
      <c r="P85" s="271">
        <v>15442</v>
      </c>
      <c r="Q85" s="286">
        <f t="shared" si="19"/>
        <v>-15442</v>
      </c>
      <c r="R85" s="397">
        <v>27000</v>
      </c>
      <c r="S85" s="398">
        <f t="shared" si="15"/>
        <v>0</v>
      </c>
      <c r="T85" s="503"/>
      <c r="U85" s="369"/>
      <c r="V85" s="369"/>
      <c r="W85" s="369"/>
    </row>
    <row r="86" spans="1:23" s="267" customFormat="1" ht="13">
      <c r="A86" s="419" t="s">
        <v>171</v>
      </c>
      <c r="B86" s="721">
        <f>SUM(B79:B85)</f>
        <v>0</v>
      </c>
      <c r="C86" s="724">
        <f t="shared" ref="C86:M86" si="20">SUM(C79:C85)</f>
        <v>0</v>
      </c>
      <c r="D86" s="469">
        <f t="shared" si="20"/>
        <v>0</v>
      </c>
      <c r="E86" s="469">
        <f t="shared" si="20"/>
        <v>0</v>
      </c>
      <c r="F86" s="469">
        <f t="shared" si="20"/>
        <v>0</v>
      </c>
      <c r="G86" s="469">
        <f t="shared" si="20"/>
        <v>0</v>
      </c>
      <c r="H86" s="469">
        <f t="shared" si="20"/>
        <v>0</v>
      </c>
      <c r="I86" s="469">
        <f t="shared" si="20"/>
        <v>0</v>
      </c>
      <c r="J86" s="469">
        <f t="shared" si="20"/>
        <v>0</v>
      </c>
      <c r="K86" s="469">
        <f t="shared" si="20"/>
        <v>0</v>
      </c>
      <c r="L86" s="469">
        <f t="shared" si="20"/>
        <v>0</v>
      </c>
      <c r="M86" s="660">
        <f t="shared" si="20"/>
        <v>0</v>
      </c>
      <c r="N86" s="749">
        <f t="shared" si="18"/>
        <v>0</v>
      </c>
      <c r="O86" s="399">
        <f>0+SUM(O79:O85)</f>
        <v>109100</v>
      </c>
      <c r="P86" s="469">
        <v>27942</v>
      </c>
      <c r="Q86" s="469">
        <f>N86-P86</f>
        <v>-27942</v>
      </c>
      <c r="R86" s="573">
        <f>0+SUM(R79:R85)</f>
        <v>109100</v>
      </c>
      <c r="S86" s="398">
        <f t="shared" si="15"/>
        <v>0</v>
      </c>
      <c r="T86" s="503"/>
      <c r="U86" s="369"/>
      <c r="V86" s="369"/>
      <c r="W86" s="369"/>
    </row>
    <row r="87" spans="1:23" s="267" customFormat="1" ht="6" hidden="1" customHeight="1">
      <c r="A87" s="419"/>
      <c r="B87" s="715"/>
      <c r="C87" s="715"/>
      <c r="D87" s="272"/>
      <c r="E87" s="272"/>
      <c r="F87" s="272"/>
      <c r="G87" s="272"/>
      <c r="H87" s="272"/>
      <c r="I87" s="272"/>
      <c r="J87" s="272"/>
      <c r="K87" s="272"/>
      <c r="L87" s="272"/>
      <c r="M87" s="656"/>
      <c r="N87" s="468"/>
      <c r="O87" s="397"/>
      <c r="P87" s="370"/>
      <c r="Q87" s="370"/>
      <c r="R87" s="397"/>
      <c r="S87" s="398">
        <f t="shared" si="15"/>
        <v>0</v>
      </c>
      <c r="T87" s="503"/>
      <c r="U87" s="369"/>
      <c r="V87" s="369"/>
      <c r="W87" s="369"/>
    </row>
    <row r="88" spans="1:23" s="267" customFormat="1" ht="13" hidden="1">
      <c r="A88" s="424" t="s">
        <v>172</v>
      </c>
      <c r="B88" s="713"/>
      <c r="C88" s="732"/>
      <c r="D88" s="271"/>
      <c r="E88" s="271"/>
      <c r="F88" s="271"/>
      <c r="G88" s="271"/>
      <c r="H88" s="271"/>
      <c r="I88" s="271"/>
      <c r="J88" s="271"/>
      <c r="K88" s="271"/>
      <c r="L88" s="271"/>
      <c r="M88" s="654"/>
      <c r="N88" s="468"/>
      <c r="O88" s="397"/>
      <c r="P88" s="370"/>
      <c r="Q88" s="370"/>
      <c r="R88" s="397"/>
      <c r="S88" s="398">
        <f t="shared" si="15"/>
        <v>0</v>
      </c>
      <c r="T88" s="503"/>
      <c r="U88" s="369"/>
      <c r="V88" s="369"/>
      <c r="W88" s="369"/>
    </row>
    <row r="89" spans="1:23" s="267" customFormat="1" ht="13" hidden="1">
      <c r="A89" s="425" t="s">
        <v>173</v>
      </c>
      <c r="B89" s="713" t="e">
        <f>#REF!-#REF!</f>
        <v>#REF!</v>
      </c>
      <c r="C89" s="732" t="e">
        <f>#REF!-#REF!</f>
        <v>#REF!</v>
      </c>
      <c r="D89" s="271" t="e">
        <f>B89-#REF!</f>
        <v>#REF!</v>
      </c>
      <c r="E89" s="271" t="e">
        <f t="shared" ref="E89:M89" si="21">C89-B89</f>
        <v>#REF!</v>
      </c>
      <c r="F89" s="271" t="e">
        <f t="shared" si="21"/>
        <v>#REF!</v>
      </c>
      <c r="G89" s="271" t="e">
        <f t="shared" si="21"/>
        <v>#REF!</v>
      </c>
      <c r="H89" s="271" t="e">
        <f t="shared" si="21"/>
        <v>#REF!</v>
      </c>
      <c r="I89" s="271" t="e">
        <f t="shared" si="21"/>
        <v>#REF!</v>
      </c>
      <c r="J89" s="271" t="e">
        <f t="shared" si="21"/>
        <v>#REF!</v>
      </c>
      <c r="K89" s="271" t="e">
        <f t="shared" si="21"/>
        <v>#REF!</v>
      </c>
      <c r="L89" s="271" t="e">
        <f t="shared" si="21"/>
        <v>#REF!</v>
      </c>
      <c r="M89" s="654" t="e">
        <f t="shared" si="21"/>
        <v>#REF!</v>
      </c>
      <c r="N89" s="468"/>
      <c r="O89" s="397"/>
      <c r="P89" s="370"/>
      <c r="Q89" s="370"/>
      <c r="R89" s="397"/>
      <c r="S89" s="398">
        <f t="shared" si="15"/>
        <v>0</v>
      </c>
      <c r="T89" s="503"/>
      <c r="U89" s="369"/>
      <c r="V89" s="369"/>
      <c r="W89" s="369"/>
    </row>
    <row r="90" spans="1:23" s="267" customFormat="1" ht="13" hidden="1">
      <c r="A90" s="425" t="s">
        <v>174</v>
      </c>
      <c r="B90" s="713">
        <f>0</f>
        <v>0</v>
      </c>
      <c r="C90" s="732">
        <f>0</f>
        <v>0</v>
      </c>
      <c r="D90" s="271">
        <f>0</f>
        <v>0</v>
      </c>
      <c r="E90" s="271">
        <f>0</f>
        <v>0</v>
      </c>
      <c r="F90" s="271">
        <f>0</f>
        <v>0</v>
      </c>
      <c r="G90" s="271">
        <f>0</f>
        <v>0</v>
      </c>
      <c r="H90" s="271">
        <f>0</f>
        <v>0</v>
      </c>
      <c r="I90" s="271">
        <f>0</f>
        <v>0</v>
      </c>
      <c r="J90" s="271">
        <f>0</f>
        <v>0</v>
      </c>
      <c r="K90" s="271">
        <v>0</v>
      </c>
      <c r="L90" s="271">
        <f>0</f>
        <v>0</v>
      </c>
      <c r="M90" s="654">
        <f>0</f>
        <v>0</v>
      </c>
      <c r="N90" s="468"/>
      <c r="O90" s="397"/>
      <c r="P90" s="370"/>
      <c r="Q90" s="370"/>
      <c r="R90" s="397"/>
      <c r="S90" s="398">
        <f t="shared" si="15"/>
        <v>0</v>
      </c>
      <c r="T90" s="503"/>
      <c r="U90" s="369"/>
      <c r="V90" s="369"/>
      <c r="W90" s="369"/>
    </row>
    <row r="91" spans="1:23" s="267" customFormat="1" ht="13" hidden="1">
      <c r="A91" s="424" t="s">
        <v>175</v>
      </c>
      <c r="B91" s="713" t="e">
        <f>SUM(B89:B90)</f>
        <v>#REF!</v>
      </c>
      <c r="C91" s="732" t="e">
        <f t="shared" ref="C91:M91" si="22">SUM(C89:C90)</f>
        <v>#REF!</v>
      </c>
      <c r="D91" s="271" t="e">
        <f t="shared" si="22"/>
        <v>#REF!</v>
      </c>
      <c r="E91" s="271" t="e">
        <f t="shared" si="22"/>
        <v>#REF!</v>
      </c>
      <c r="F91" s="271" t="e">
        <f t="shared" si="22"/>
        <v>#REF!</v>
      </c>
      <c r="G91" s="271" t="e">
        <f t="shared" si="22"/>
        <v>#REF!</v>
      </c>
      <c r="H91" s="271" t="e">
        <f t="shared" si="22"/>
        <v>#REF!</v>
      </c>
      <c r="I91" s="271" t="e">
        <f t="shared" si="22"/>
        <v>#REF!</v>
      </c>
      <c r="J91" s="271" t="e">
        <f t="shared" si="22"/>
        <v>#REF!</v>
      </c>
      <c r="K91" s="271" t="e">
        <f t="shared" si="22"/>
        <v>#REF!</v>
      </c>
      <c r="L91" s="271" t="e">
        <f t="shared" si="22"/>
        <v>#REF!</v>
      </c>
      <c r="M91" s="654" t="e">
        <f t="shared" si="22"/>
        <v>#REF!</v>
      </c>
      <c r="N91" s="468"/>
      <c r="O91" s="397"/>
      <c r="P91" s="370"/>
      <c r="Q91" s="370"/>
      <c r="R91" s="397"/>
      <c r="S91" s="398">
        <f t="shared" si="15"/>
        <v>0</v>
      </c>
      <c r="T91" s="503"/>
      <c r="U91" s="369"/>
      <c r="V91" s="369"/>
      <c r="W91" s="369"/>
    </row>
    <row r="92" spans="1:23" s="267" customFormat="1" ht="15" customHeight="1">
      <c r="A92" s="419"/>
      <c r="B92" s="713"/>
      <c r="C92" s="732"/>
      <c r="D92" s="271"/>
      <c r="E92" s="271"/>
      <c r="F92" s="271"/>
      <c r="G92" s="271"/>
      <c r="H92" s="271"/>
      <c r="I92" s="271"/>
      <c r="J92" s="271"/>
      <c r="K92" s="271"/>
      <c r="L92" s="271"/>
      <c r="M92" s="654"/>
      <c r="N92" s="468"/>
      <c r="O92" s="397"/>
      <c r="P92" s="370"/>
      <c r="Q92" s="370"/>
      <c r="R92" s="397"/>
      <c r="S92" s="398">
        <f t="shared" si="15"/>
        <v>0</v>
      </c>
      <c r="T92" s="503"/>
      <c r="U92" s="369"/>
      <c r="V92" s="369"/>
      <c r="W92" s="369"/>
    </row>
    <row r="93" spans="1:23" s="267" customFormat="1" ht="13">
      <c r="A93" s="419" t="s">
        <v>176</v>
      </c>
      <c r="B93" s="713"/>
      <c r="C93" s="713"/>
      <c r="D93" s="278"/>
      <c r="E93" s="278"/>
      <c r="F93" s="278"/>
      <c r="G93" s="278"/>
      <c r="H93" s="278"/>
      <c r="I93" s="278"/>
      <c r="J93" s="278"/>
      <c r="K93" s="278"/>
      <c r="L93" s="278"/>
      <c r="M93" s="654"/>
      <c r="N93" s="468"/>
      <c r="O93" s="397"/>
      <c r="P93" s="133"/>
      <c r="Q93" s="133"/>
      <c r="R93" s="397"/>
      <c r="S93" s="398">
        <f t="shared" si="15"/>
        <v>0</v>
      </c>
      <c r="T93" s="500"/>
    </row>
    <row r="94" spans="1:23" s="267" customFormat="1" ht="13">
      <c r="A94" s="420" t="s">
        <v>177</v>
      </c>
      <c r="B94" s="723">
        <v>0</v>
      </c>
      <c r="C94" s="723">
        <v>0</v>
      </c>
      <c r="D94" s="675">
        <v>1000</v>
      </c>
      <c r="E94" s="675">
        <v>0</v>
      </c>
      <c r="F94" s="675">
        <v>0</v>
      </c>
      <c r="G94" s="382">
        <v>1000</v>
      </c>
      <c r="H94" s="382">
        <v>0</v>
      </c>
      <c r="I94" s="382">
        <v>0</v>
      </c>
      <c r="J94" s="382">
        <v>0</v>
      </c>
      <c r="K94" s="382">
        <v>0</v>
      </c>
      <c r="L94" s="382">
        <v>0</v>
      </c>
      <c r="M94" s="661">
        <v>1000</v>
      </c>
      <c r="N94" s="645">
        <f t="shared" ref="N94:N98" si="23">SUM(B94:M94)</f>
        <v>3000</v>
      </c>
      <c r="O94" s="397">
        <v>3000</v>
      </c>
      <c r="P94" s="271">
        <v>10934</v>
      </c>
      <c r="Q94" s="274">
        <f>N94-P94</f>
        <v>-7934</v>
      </c>
      <c r="R94" s="397">
        <v>34200</v>
      </c>
      <c r="S94" s="398">
        <f t="shared" si="15"/>
        <v>-31200</v>
      </c>
      <c r="T94" s="500"/>
    </row>
    <row r="95" spans="1:23" s="267" customFormat="1" ht="13">
      <c r="A95" s="420" t="s">
        <v>178</v>
      </c>
      <c r="B95" s="713">
        <v>1918</v>
      </c>
      <c r="C95" s="713">
        <v>1150</v>
      </c>
      <c r="D95" s="278">
        <v>2100</v>
      </c>
      <c r="E95" s="278">
        <v>2100</v>
      </c>
      <c r="F95" s="278">
        <v>2100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654">
        <v>0</v>
      </c>
      <c r="N95" s="468">
        <f t="shared" si="23"/>
        <v>9368</v>
      </c>
      <c r="O95" s="397">
        <v>11000</v>
      </c>
      <c r="P95" s="271">
        <v>40387.379999999997</v>
      </c>
      <c r="Q95" s="274">
        <f>N95-P95</f>
        <v>-31019.379999999997</v>
      </c>
      <c r="R95" s="397">
        <v>52000</v>
      </c>
      <c r="S95" s="398">
        <f t="shared" si="15"/>
        <v>-41000</v>
      </c>
      <c r="T95" s="500"/>
    </row>
    <row r="96" spans="1:23" s="267" customFormat="1" ht="13">
      <c r="A96" s="420" t="s">
        <v>180</v>
      </c>
      <c r="B96" s="713">
        <v>0</v>
      </c>
      <c r="C96" s="713">
        <v>0</v>
      </c>
      <c r="D96" s="278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654">
        <v>0</v>
      </c>
      <c r="N96" s="468">
        <f t="shared" si="23"/>
        <v>0</v>
      </c>
      <c r="O96" s="397">
        <v>0</v>
      </c>
      <c r="P96" s="271"/>
      <c r="Q96" s="274"/>
      <c r="R96" s="397">
        <v>0</v>
      </c>
      <c r="S96" s="398">
        <f t="shared" si="15"/>
        <v>0</v>
      </c>
      <c r="T96" s="500"/>
    </row>
    <row r="97" spans="1:20" s="267" customFormat="1" ht="13">
      <c r="A97" s="420" t="s">
        <v>181</v>
      </c>
      <c r="B97" s="713">
        <v>0</v>
      </c>
      <c r="C97" s="713">
        <v>0</v>
      </c>
      <c r="D97" s="278">
        <v>0</v>
      </c>
      <c r="E97" s="278">
        <v>0</v>
      </c>
      <c r="F97" s="278">
        <v>0</v>
      </c>
      <c r="G97" s="278">
        <v>0</v>
      </c>
      <c r="H97" s="278">
        <v>0</v>
      </c>
      <c r="I97" s="278">
        <v>0</v>
      </c>
      <c r="J97" s="278">
        <v>0</v>
      </c>
      <c r="K97" s="278">
        <v>0</v>
      </c>
      <c r="L97" s="278">
        <v>0</v>
      </c>
      <c r="M97" s="654">
        <v>0</v>
      </c>
      <c r="N97" s="468">
        <f t="shared" si="23"/>
        <v>0</v>
      </c>
      <c r="O97" s="397">
        <v>0</v>
      </c>
      <c r="P97" s="271"/>
      <c r="Q97" s="274"/>
      <c r="R97" s="397">
        <v>0</v>
      </c>
      <c r="S97" s="398">
        <f t="shared" si="15"/>
        <v>0</v>
      </c>
      <c r="T97" s="500"/>
    </row>
    <row r="98" spans="1:20" s="267" customFormat="1" ht="13">
      <c r="A98" s="420" t="s">
        <v>182</v>
      </c>
      <c r="B98" s="713">
        <v>0</v>
      </c>
      <c r="C98" s="713">
        <v>0</v>
      </c>
      <c r="D98" s="278">
        <v>0</v>
      </c>
      <c r="E98" s="278">
        <v>500</v>
      </c>
      <c r="F98" s="278">
        <v>500</v>
      </c>
      <c r="G98" s="278">
        <v>500</v>
      </c>
      <c r="H98" s="278">
        <v>500</v>
      </c>
      <c r="I98" s="278">
        <v>500</v>
      </c>
      <c r="J98" s="278">
        <v>500</v>
      </c>
      <c r="K98" s="278">
        <v>500</v>
      </c>
      <c r="L98" s="278">
        <v>500</v>
      </c>
      <c r="M98" s="654">
        <v>500</v>
      </c>
      <c r="N98" s="468">
        <f t="shared" si="23"/>
        <v>4500</v>
      </c>
      <c r="O98" s="397">
        <v>6000</v>
      </c>
      <c r="P98" s="271"/>
      <c r="Q98" s="274"/>
      <c r="R98" s="397">
        <v>12500</v>
      </c>
      <c r="S98" s="398">
        <f t="shared" si="15"/>
        <v>-6500</v>
      </c>
      <c r="T98" s="500"/>
    </row>
    <row r="99" spans="1:20" s="267" customFormat="1" ht="13">
      <c r="A99" s="420" t="s">
        <v>184</v>
      </c>
      <c r="B99" s="713"/>
      <c r="C99" s="713"/>
      <c r="D99" s="278"/>
      <c r="E99" s="278"/>
      <c r="F99" s="278"/>
      <c r="G99" s="278"/>
      <c r="H99" s="271"/>
      <c r="I99" s="271"/>
      <c r="J99" s="271"/>
      <c r="K99" s="271"/>
      <c r="L99" s="271"/>
      <c r="M99" s="654"/>
      <c r="N99" s="646"/>
      <c r="O99" s="397"/>
      <c r="P99" s="271"/>
      <c r="Q99" s="274">
        <f>N99-P99</f>
        <v>0</v>
      </c>
      <c r="R99" s="397"/>
      <c r="S99" s="398">
        <f t="shared" si="15"/>
        <v>0</v>
      </c>
      <c r="T99" s="500"/>
    </row>
    <row r="100" spans="1:20" s="267" customFormat="1" ht="13">
      <c r="A100" s="420" t="s">
        <v>186</v>
      </c>
      <c r="B100" s="719">
        <v>0</v>
      </c>
      <c r="C100" s="713">
        <v>0</v>
      </c>
      <c r="D100" s="278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78">
        <v>0</v>
      </c>
      <c r="K100" s="677">
        <v>0</v>
      </c>
      <c r="L100" s="278">
        <v>0</v>
      </c>
      <c r="M100" s="654">
        <v>0</v>
      </c>
      <c r="N100" s="468">
        <f>SUM(B100:M100)</f>
        <v>0</v>
      </c>
      <c r="O100" s="397">
        <v>3500</v>
      </c>
      <c r="P100" s="271">
        <v>0</v>
      </c>
      <c r="Q100" s="274">
        <f>N100-P100</f>
        <v>0</v>
      </c>
      <c r="R100" s="397">
        <v>7000</v>
      </c>
      <c r="S100" s="398">
        <f t="shared" si="15"/>
        <v>-3500</v>
      </c>
      <c r="T100" s="500"/>
    </row>
    <row r="101" spans="1:20" s="267" customFormat="1" ht="13">
      <c r="A101" s="420" t="s">
        <v>187</v>
      </c>
      <c r="B101" s="719">
        <v>0</v>
      </c>
      <c r="C101" s="713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677">
        <v>0</v>
      </c>
      <c r="L101" s="278">
        <v>0</v>
      </c>
      <c r="M101" s="654">
        <v>0</v>
      </c>
      <c r="N101" s="468">
        <f t="shared" ref="N101:N106" si="24">SUM(B101:M101)</f>
        <v>0</v>
      </c>
      <c r="O101" s="397">
        <v>1500</v>
      </c>
      <c r="P101" s="271">
        <v>11057.409999999998</v>
      </c>
      <c r="Q101" s="274">
        <f>N101-P101</f>
        <v>-11057.409999999998</v>
      </c>
      <c r="R101" s="397">
        <v>3000</v>
      </c>
      <c r="S101" s="398">
        <f t="shared" si="15"/>
        <v>-1500</v>
      </c>
      <c r="T101" s="500"/>
    </row>
    <row r="102" spans="1:20" s="267" customFormat="1" ht="13">
      <c r="A102" s="420" t="s">
        <v>188</v>
      </c>
      <c r="B102" s="719">
        <v>0</v>
      </c>
      <c r="C102" s="713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677">
        <v>0</v>
      </c>
      <c r="L102" s="278">
        <v>0</v>
      </c>
      <c r="M102" s="654">
        <v>0</v>
      </c>
      <c r="N102" s="468">
        <f>SUM(B102:M102)</f>
        <v>0</v>
      </c>
      <c r="O102" s="397">
        <v>1000</v>
      </c>
      <c r="P102" s="271">
        <v>5082.8500000000004</v>
      </c>
      <c r="Q102" s="274">
        <f>N102-P102</f>
        <v>-5082.8500000000004</v>
      </c>
      <c r="R102" s="397">
        <v>2000</v>
      </c>
      <c r="S102" s="398">
        <f t="shared" si="15"/>
        <v>-1000</v>
      </c>
      <c r="T102" s="500"/>
    </row>
    <row r="103" spans="1:20" s="267" customFormat="1" ht="13">
      <c r="A103" s="420" t="s">
        <v>189</v>
      </c>
      <c r="B103" s="719">
        <v>0</v>
      </c>
      <c r="C103" s="713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677">
        <v>0</v>
      </c>
      <c r="L103" s="278">
        <v>0</v>
      </c>
      <c r="M103" s="654">
        <v>0</v>
      </c>
      <c r="N103" s="468">
        <f t="shared" si="24"/>
        <v>0</v>
      </c>
      <c r="O103" s="397">
        <v>1000</v>
      </c>
      <c r="P103" s="271">
        <v>7928.23</v>
      </c>
      <c r="Q103" s="274">
        <f>N103-P103</f>
        <v>-7928.23</v>
      </c>
      <c r="R103" s="397">
        <v>2000</v>
      </c>
      <c r="S103" s="398">
        <f t="shared" si="15"/>
        <v>-1000</v>
      </c>
      <c r="T103" s="500"/>
    </row>
    <row r="104" spans="1:20" s="267" customFormat="1" ht="13">
      <c r="A104" s="420" t="s">
        <v>190</v>
      </c>
      <c r="B104" s="719">
        <v>0</v>
      </c>
      <c r="C104" s="713">
        <v>0</v>
      </c>
      <c r="D104" s="278">
        <v>0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K104" s="677">
        <v>0</v>
      </c>
      <c r="L104" s="278">
        <v>0</v>
      </c>
      <c r="M104" s="654">
        <v>0</v>
      </c>
      <c r="N104" s="468">
        <f t="shared" si="24"/>
        <v>0</v>
      </c>
      <c r="O104" s="397">
        <v>2000</v>
      </c>
      <c r="P104" s="271"/>
      <c r="Q104" s="274"/>
      <c r="R104" s="397">
        <v>4000</v>
      </c>
      <c r="S104" s="398">
        <f t="shared" si="15"/>
        <v>-2000</v>
      </c>
      <c r="T104" s="500"/>
    </row>
    <row r="105" spans="1:20" s="267" customFormat="1" ht="13">
      <c r="A105" s="426" t="s">
        <v>191</v>
      </c>
      <c r="B105" s="719">
        <v>0</v>
      </c>
      <c r="C105" s="713">
        <v>0</v>
      </c>
      <c r="D105" s="278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677">
        <v>0</v>
      </c>
      <c r="L105" s="278">
        <v>0</v>
      </c>
      <c r="M105" s="654">
        <v>0</v>
      </c>
      <c r="N105" s="468">
        <f t="shared" si="24"/>
        <v>0</v>
      </c>
      <c r="O105" s="397">
        <v>1000</v>
      </c>
      <c r="P105" s="271"/>
      <c r="Q105" s="274"/>
      <c r="R105" s="397">
        <v>2000</v>
      </c>
      <c r="S105" s="398">
        <f t="shared" si="15"/>
        <v>-1000</v>
      </c>
      <c r="T105" s="500"/>
    </row>
    <row r="106" spans="1:20" s="267" customFormat="1" ht="13">
      <c r="A106" s="426" t="s">
        <v>298</v>
      </c>
      <c r="B106" s="719">
        <v>99</v>
      </c>
      <c r="C106" s="713">
        <v>530.75</v>
      </c>
      <c r="D106" s="278">
        <v>1412.5</v>
      </c>
      <c r="E106" s="278">
        <v>200</v>
      </c>
      <c r="F106" s="278">
        <v>200</v>
      </c>
      <c r="G106" s="278">
        <v>200</v>
      </c>
      <c r="H106" s="278">
        <v>200</v>
      </c>
      <c r="I106" s="278">
        <v>200</v>
      </c>
      <c r="J106" s="278">
        <v>200</v>
      </c>
      <c r="K106" s="677">
        <v>200</v>
      </c>
      <c r="L106" s="278">
        <v>200</v>
      </c>
      <c r="M106" s="654">
        <v>200</v>
      </c>
      <c r="N106" s="468">
        <f t="shared" si="24"/>
        <v>3842.25</v>
      </c>
      <c r="O106" s="397"/>
      <c r="P106" s="271"/>
      <c r="Q106" s="274"/>
      <c r="R106" s="397"/>
      <c r="S106" s="398"/>
      <c r="T106" s="500"/>
    </row>
    <row r="107" spans="1:20" s="267" customFormat="1" ht="13">
      <c r="A107" s="577" t="s">
        <v>194</v>
      </c>
      <c r="B107" s="719">
        <v>0</v>
      </c>
      <c r="C107" s="713">
        <v>0</v>
      </c>
      <c r="D107" s="677">
        <v>0</v>
      </c>
      <c r="E107" s="677">
        <v>0</v>
      </c>
      <c r="F107" s="677">
        <v>0</v>
      </c>
      <c r="G107" s="677">
        <v>0</v>
      </c>
      <c r="H107" s="677">
        <v>0</v>
      </c>
      <c r="I107" s="677">
        <v>0</v>
      </c>
      <c r="J107" s="677">
        <v>0</v>
      </c>
      <c r="K107" s="677">
        <v>0</v>
      </c>
      <c r="L107" s="677">
        <v>0</v>
      </c>
      <c r="M107" s="696">
        <v>0</v>
      </c>
      <c r="N107" s="468">
        <f>SUM(B107:M107)</f>
        <v>0</v>
      </c>
      <c r="O107" s="397">
        <v>0</v>
      </c>
      <c r="P107" s="278"/>
      <c r="Q107" s="286"/>
      <c r="R107" s="397">
        <v>64000</v>
      </c>
      <c r="S107" s="398">
        <f t="shared" si="15"/>
        <v>-64000</v>
      </c>
      <c r="T107" s="500"/>
    </row>
    <row r="108" spans="1:20" s="267" customFormat="1" ht="13">
      <c r="A108" s="419" t="s">
        <v>92</v>
      </c>
      <c r="B108" s="724">
        <f t="shared" ref="B108:M108" si="25">SUM(B94:B107)</f>
        <v>2017</v>
      </c>
      <c r="C108" s="715">
        <f t="shared" si="25"/>
        <v>1680.75</v>
      </c>
      <c r="D108" s="469">
        <f t="shared" si="25"/>
        <v>4512.5</v>
      </c>
      <c r="E108" s="469">
        <f t="shared" si="25"/>
        <v>2800</v>
      </c>
      <c r="F108" s="469">
        <f t="shared" si="25"/>
        <v>2800</v>
      </c>
      <c r="G108" s="469">
        <f t="shared" si="25"/>
        <v>1700</v>
      </c>
      <c r="H108" s="469">
        <f t="shared" si="25"/>
        <v>700</v>
      </c>
      <c r="I108" s="469">
        <f t="shared" si="25"/>
        <v>700</v>
      </c>
      <c r="J108" s="469">
        <f t="shared" si="25"/>
        <v>700</v>
      </c>
      <c r="K108" s="469">
        <f t="shared" si="25"/>
        <v>700</v>
      </c>
      <c r="L108" s="469">
        <f t="shared" si="25"/>
        <v>700</v>
      </c>
      <c r="M108" s="660">
        <f t="shared" si="25"/>
        <v>1700</v>
      </c>
      <c r="N108" s="641">
        <f>SUM(B108:M108)</f>
        <v>20710.25</v>
      </c>
      <c r="O108" s="440">
        <f>SUM(O92:O107)</f>
        <v>30000</v>
      </c>
      <c r="P108" s="276">
        <v>80414.87</v>
      </c>
      <c r="Q108" s="276">
        <f>N108-P108</f>
        <v>-59704.619999999995</v>
      </c>
      <c r="R108" s="440">
        <f>SUM(R92:R107)</f>
        <v>182700</v>
      </c>
      <c r="S108" s="398">
        <f t="shared" si="15"/>
        <v>-152700</v>
      </c>
      <c r="T108" s="500"/>
    </row>
    <row r="109" spans="1:20" s="267" customFormat="1" ht="13" customHeight="1">
      <c r="A109" s="419"/>
      <c r="B109" s="715"/>
      <c r="C109" s="735"/>
      <c r="D109" s="272"/>
      <c r="E109" s="272"/>
      <c r="F109" s="272"/>
      <c r="G109" s="272"/>
      <c r="H109" s="272"/>
      <c r="I109" s="272"/>
      <c r="J109" s="272"/>
      <c r="K109" s="272"/>
      <c r="L109" s="272"/>
      <c r="M109" s="656"/>
      <c r="N109" s="468"/>
      <c r="O109" s="397"/>
      <c r="P109" s="133"/>
      <c r="Q109" s="133"/>
      <c r="R109" s="397"/>
      <c r="S109" s="398">
        <f t="shared" si="15"/>
        <v>0</v>
      </c>
      <c r="T109" s="500"/>
    </row>
    <row r="110" spans="1:20" s="267" customFormat="1" ht="14" customHeight="1">
      <c r="A110" s="419"/>
      <c r="B110" s="715"/>
      <c r="C110" s="715"/>
      <c r="D110" s="272"/>
      <c r="E110" s="272"/>
      <c r="F110" s="272"/>
      <c r="G110" s="272"/>
      <c r="H110" s="272"/>
      <c r="I110" s="272"/>
      <c r="J110" s="272"/>
      <c r="K110" s="272"/>
      <c r="L110" s="272"/>
      <c r="M110" s="656"/>
      <c r="N110" s="468"/>
      <c r="O110" s="397"/>
      <c r="P110" s="133"/>
      <c r="Q110" s="133"/>
      <c r="R110" s="397"/>
      <c r="S110" s="398">
        <f t="shared" si="15"/>
        <v>0</v>
      </c>
      <c r="T110" s="500"/>
    </row>
    <row r="111" spans="1:20" s="267" customFormat="1" ht="13">
      <c r="A111" s="419" t="s">
        <v>195</v>
      </c>
      <c r="B111" s="713"/>
      <c r="C111" s="732"/>
      <c r="D111" s="271"/>
      <c r="E111" s="271"/>
      <c r="F111" s="271"/>
      <c r="G111" s="271"/>
      <c r="H111" s="271"/>
      <c r="I111" s="271"/>
      <c r="J111" s="271"/>
      <c r="K111" s="271"/>
      <c r="L111" s="271"/>
      <c r="M111" s="654"/>
      <c r="N111" s="468"/>
      <c r="O111" s="397"/>
      <c r="P111" s="133"/>
      <c r="Q111" s="133"/>
      <c r="R111" s="397"/>
      <c r="S111" s="398">
        <f t="shared" si="15"/>
        <v>0</v>
      </c>
      <c r="T111" s="500"/>
    </row>
    <row r="112" spans="1:20" s="267" customFormat="1" ht="13">
      <c r="A112" s="420" t="s">
        <v>196</v>
      </c>
      <c r="B112" s="713">
        <v>0</v>
      </c>
      <c r="C112" s="732">
        <v>0</v>
      </c>
      <c r="D112" s="271">
        <v>0</v>
      </c>
      <c r="E112" s="271">
        <v>0</v>
      </c>
      <c r="F112" s="271">
        <v>0</v>
      </c>
      <c r="G112" s="271">
        <v>0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654">
        <v>0</v>
      </c>
      <c r="N112" s="468">
        <f>SUM(B112:M112)</f>
        <v>0</v>
      </c>
      <c r="O112" s="397">
        <v>0</v>
      </c>
      <c r="P112" s="271">
        <v>11031.75</v>
      </c>
      <c r="Q112" s="274">
        <f>N112-P112</f>
        <v>-11031.75</v>
      </c>
      <c r="R112" s="397">
        <v>0</v>
      </c>
      <c r="S112" s="398">
        <f>O112-R112</f>
        <v>0</v>
      </c>
      <c r="T112" s="500"/>
    </row>
    <row r="113" spans="1:20" s="738" customFormat="1" ht="13">
      <c r="A113" s="420" t="s">
        <v>689</v>
      </c>
      <c r="B113" s="740"/>
      <c r="C113" s="740">
        <v>-1063.9100000000001</v>
      </c>
      <c r="M113" s="741"/>
      <c r="N113" s="736"/>
      <c r="O113" s="737"/>
      <c r="S113" s="739"/>
    </row>
    <row r="114" spans="1:20" s="267" customFormat="1" ht="13">
      <c r="A114" s="419" t="s">
        <v>223</v>
      </c>
      <c r="B114" s="721">
        <f>SUM(B112:B112)</f>
        <v>0</v>
      </c>
      <c r="C114" s="724">
        <f>SUM(C112:C113)</f>
        <v>-1063.9100000000001</v>
      </c>
      <c r="D114" s="469">
        <f t="shared" ref="D114:M114" si="26">SUM(D112:D112)</f>
        <v>0</v>
      </c>
      <c r="E114" s="469">
        <f t="shared" si="26"/>
        <v>0</v>
      </c>
      <c r="F114" s="469">
        <f t="shared" si="26"/>
        <v>0</v>
      </c>
      <c r="G114" s="469">
        <f t="shared" si="26"/>
        <v>0</v>
      </c>
      <c r="H114" s="469">
        <f t="shared" si="26"/>
        <v>0</v>
      </c>
      <c r="I114" s="469">
        <f t="shared" si="26"/>
        <v>0</v>
      </c>
      <c r="J114" s="469">
        <f t="shared" si="26"/>
        <v>0</v>
      </c>
      <c r="K114" s="469">
        <f t="shared" si="26"/>
        <v>0</v>
      </c>
      <c r="L114" s="469">
        <f t="shared" si="26"/>
        <v>0</v>
      </c>
      <c r="M114" s="660">
        <f t="shared" si="26"/>
        <v>0</v>
      </c>
      <c r="N114" s="467">
        <f>SUM(B114:M114)</f>
        <v>-1063.9100000000001</v>
      </c>
      <c r="O114" s="399">
        <v>0</v>
      </c>
      <c r="P114" s="469">
        <v>18072.3</v>
      </c>
      <c r="Q114" s="469">
        <f>N114-P114</f>
        <v>-19136.21</v>
      </c>
      <c r="R114" s="408">
        <v>0</v>
      </c>
      <c r="S114" s="398">
        <f t="shared" si="15"/>
        <v>0</v>
      </c>
      <c r="T114" s="500"/>
    </row>
    <row r="115" spans="1:20" s="267" customFormat="1" ht="6" customHeight="1">
      <c r="A115" s="419"/>
      <c r="B115" s="715"/>
      <c r="C115" s="715"/>
      <c r="D115" s="272"/>
      <c r="E115" s="272"/>
      <c r="F115" s="272"/>
      <c r="G115" s="272"/>
      <c r="H115" s="272"/>
      <c r="I115" s="272"/>
      <c r="J115" s="272"/>
      <c r="K115" s="272"/>
      <c r="L115" s="272"/>
      <c r="M115" s="656"/>
      <c r="N115" s="468"/>
      <c r="O115" s="397"/>
      <c r="P115" s="133"/>
      <c r="Q115" s="133"/>
      <c r="R115" s="397"/>
      <c r="S115" s="398">
        <f t="shared" si="15"/>
        <v>0</v>
      </c>
      <c r="T115" s="500"/>
    </row>
    <row r="116" spans="1:20" s="267" customFormat="1" ht="14.5" customHeight="1">
      <c r="A116" s="419" t="s">
        <v>198</v>
      </c>
      <c r="B116" s="715"/>
      <c r="C116" s="715"/>
      <c r="D116" s="272"/>
      <c r="E116" s="272"/>
      <c r="F116" s="272"/>
      <c r="G116" s="272"/>
      <c r="H116" s="272"/>
      <c r="I116" s="272"/>
      <c r="J116" s="272"/>
      <c r="K116" s="272"/>
      <c r="L116" s="272"/>
      <c r="M116" s="656"/>
      <c r="N116" s="468"/>
      <c r="O116" s="397"/>
      <c r="P116" s="133"/>
      <c r="Q116" s="133"/>
      <c r="R116" s="397"/>
      <c r="S116" s="398">
        <f t="shared" si="15"/>
        <v>0</v>
      </c>
      <c r="T116" s="500"/>
    </row>
    <row r="117" spans="1:20" s="267" customFormat="1" ht="13">
      <c r="A117" s="420" t="s">
        <v>199</v>
      </c>
      <c r="B117" s="713">
        <v>17956</v>
      </c>
      <c r="C117" s="713">
        <v>17956</v>
      </c>
      <c r="D117" s="278">
        <v>18000</v>
      </c>
      <c r="E117" s="278">
        <v>18000</v>
      </c>
      <c r="F117" s="278">
        <v>18000</v>
      </c>
      <c r="G117" s="278">
        <v>18000</v>
      </c>
      <c r="H117" s="278">
        <v>18000</v>
      </c>
      <c r="I117" s="278">
        <v>18000</v>
      </c>
      <c r="J117" s="278">
        <v>18000</v>
      </c>
      <c r="K117" s="278">
        <v>18000</v>
      </c>
      <c r="L117" s="278">
        <v>18000</v>
      </c>
      <c r="M117" s="654">
        <v>18000</v>
      </c>
      <c r="N117" s="468">
        <f>SUM(B117:M117)</f>
        <v>215912</v>
      </c>
      <c r="O117" s="397">
        <v>216000</v>
      </c>
      <c r="P117" s="271">
        <v>376153.68000000011</v>
      </c>
      <c r="Q117" s="274">
        <f>N117-P117</f>
        <v>-160241.68000000011</v>
      </c>
      <c r="R117" s="397">
        <v>216000</v>
      </c>
      <c r="S117" s="398">
        <f t="shared" si="15"/>
        <v>0</v>
      </c>
      <c r="T117" s="500"/>
    </row>
    <row r="118" spans="1:20" s="267" customFormat="1" ht="13">
      <c r="A118" s="420" t="s">
        <v>200</v>
      </c>
      <c r="B118" s="713">
        <v>21876</v>
      </c>
      <c r="C118" s="713">
        <v>8927.5</v>
      </c>
      <c r="D118" s="278">
        <v>0</v>
      </c>
      <c r="E118" s="278">
        <v>0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  <c r="L118" s="278">
        <v>0</v>
      </c>
      <c r="M118" s="654">
        <v>0</v>
      </c>
      <c r="N118" s="468">
        <f>SUM(B118:M118)</f>
        <v>30803.5</v>
      </c>
      <c r="O118" s="397"/>
      <c r="P118" s="271">
        <v>46507.833333333336</v>
      </c>
      <c r="Q118" s="274">
        <f>N118-P118</f>
        <v>-15704.333333333336</v>
      </c>
      <c r="R118" s="397"/>
      <c r="S118" s="398">
        <f t="shared" si="15"/>
        <v>0</v>
      </c>
      <c r="T118" s="507"/>
    </row>
    <row r="119" spans="1:20" s="705" customFormat="1" ht="26">
      <c r="A119" s="697" t="s">
        <v>201</v>
      </c>
      <c r="B119" s="717">
        <v>0</v>
      </c>
      <c r="C119" s="717">
        <v>0</v>
      </c>
      <c r="D119" s="674">
        <v>0</v>
      </c>
      <c r="E119" s="674">
        <v>0</v>
      </c>
      <c r="F119" s="674">
        <v>0</v>
      </c>
      <c r="G119" s="674">
        <v>0</v>
      </c>
      <c r="H119" s="674">
        <v>0</v>
      </c>
      <c r="I119" s="674">
        <v>0</v>
      </c>
      <c r="J119" s="674">
        <v>0</v>
      </c>
      <c r="K119" s="674">
        <v>0</v>
      </c>
      <c r="L119" s="674">
        <v>0</v>
      </c>
      <c r="M119" s="698">
        <v>0</v>
      </c>
      <c r="N119" s="699">
        <f>SUM(B119:M119)</f>
        <v>0</v>
      </c>
      <c r="O119" s="700">
        <v>10000</v>
      </c>
      <c r="P119" s="701"/>
      <c r="Q119" s="702"/>
      <c r="R119" s="700">
        <v>150000</v>
      </c>
      <c r="S119" s="703">
        <f t="shared" si="15"/>
        <v>-140000</v>
      </c>
      <c r="T119" s="704" t="s">
        <v>256</v>
      </c>
    </row>
    <row r="120" spans="1:20" s="705" customFormat="1" ht="39">
      <c r="A120" s="697" t="s">
        <v>202</v>
      </c>
      <c r="B120" s="717">
        <v>0</v>
      </c>
      <c r="C120" s="717">
        <v>0</v>
      </c>
      <c r="D120" s="674">
        <v>4000</v>
      </c>
      <c r="E120" s="674">
        <v>4000</v>
      </c>
      <c r="F120" s="674">
        <v>4000</v>
      </c>
      <c r="G120" s="674">
        <v>4000</v>
      </c>
      <c r="H120" s="674">
        <v>0</v>
      </c>
      <c r="I120" s="674">
        <v>0</v>
      </c>
      <c r="J120" s="674">
        <v>0</v>
      </c>
      <c r="K120" s="674">
        <v>0</v>
      </c>
      <c r="L120" s="674">
        <v>0</v>
      </c>
      <c r="M120" s="698">
        <v>0</v>
      </c>
      <c r="N120" s="699">
        <f t="shared" ref="N120:N129" si="27">SUM(B120:M120)</f>
        <v>16000</v>
      </c>
      <c r="O120" s="700">
        <v>50500</v>
      </c>
      <c r="P120" s="701"/>
      <c r="Q120" s="702"/>
      <c r="R120" s="700">
        <v>84000</v>
      </c>
      <c r="S120" s="703">
        <f t="shared" si="15"/>
        <v>-33500</v>
      </c>
      <c r="T120" s="704" t="s">
        <v>263</v>
      </c>
    </row>
    <row r="121" spans="1:20" s="527" customFormat="1" ht="13">
      <c r="A121" s="519" t="s">
        <v>203</v>
      </c>
      <c r="B121" s="717">
        <v>0</v>
      </c>
      <c r="C121" s="717">
        <v>0</v>
      </c>
      <c r="D121" s="520">
        <v>1700</v>
      </c>
      <c r="E121" s="520">
        <v>1700</v>
      </c>
      <c r="F121" s="520">
        <v>1700</v>
      </c>
      <c r="G121" s="520">
        <v>1700</v>
      </c>
      <c r="H121" s="520">
        <v>1700</v>
      </c>
      <c r="I121" s="520">
        <v>1700</v>
      </c>
      <c r="J121" s="520">
        <v>1700</v>
      </c>
      <c r="K121" s="520">
        <v>1700</v>
      </c>
      <c r="L121" s="520">
        <v>1700</v>
      </c>
      <c r="M121" s="658">
        <v>1700</v>
      </c>
      <c r="N121" s="673">
        <f>SUM(B121:M121)</f>
        <v>17000</v>
      </c>
      <c r="O121" s="542">
        <v>20400</v>
      </c>
      <c r="P121" s="521"/>
      <c r="Q121" s="543"/>
      <c r="R121" s="542">
        <v>20400</v>
      </c>
      <c r="S121" s="525">
        <f t="shared" si="15"/>
        <v>0</v>
      </c>
      <c r="T121" s="526"/>
    </row>
    <row r="122" spans="1:20" s="527" customFormat="1" ht="39">
      <c r="A122" s="519" t="s">
        <v>204</v>
      </c>
      <c r="B122" s="717">
        <v>0</v>
      </c>
      <c r="C122" s="717">
        <v>0</v>
      </c>
      <c r="D122" s="520">
        <v>0</v>
      </c>
      <c r="E122" s="520">
        <v>0</v>
      </c>
      <c r="F122" s="520">
        <v>0</v>
      </c>
      <c r="G122" s="520">
        <v>0</v>
      </c>
      <c r="H122" s="520">
        <v>0</v>
      </c>
      <c r="I122" s="520">
        <v>0</v>
      </c>
      <c r="J122" s="520">
        <v>0</v>
      </c>
      <c r="K122" s="520">
        <v>0</v>
      </c>
      <c r="L122" s="520">
        <v>0</v>
      </c>
      <c r="M122" s="658">
        <v>0</v>
      </c>
      <c r="N122" s="673">
        <f t="shared" si="27"/>
        <v>0</v>
      </c>
      <c r="O122" s="542">
        <v>3000</v>
      </c>
      <c r="P122" s="521"/>
      <c r="Q122" s="543"/>
      <c r="R122" s="542">
        <v>48000</v>
      </c>
      <c r="S122" s="525">
        <f t="shared" si="15"/>
        <v>-45000</v>
      </c>
      <c r="T122" s="526" t="s">
        <v>264</v>
      </c>
    </row>
    <row r="123" spans="1:20" s="527" customFormat="1" ht="13">
      <c r="A123" s="519" t="s">
        <v>205</v>
      </c>
      <c r="B123" s="717">
        <v>0</v>
      </c>
      <c r="C123" s="717">
        <v>0</v>
      </c>
      <c r="D123" s="520">
        <v>500</v>
      </c>
      <c r="E123" s="520">
        <v>500</v>
      </c>
      <c r="F123" s="520">
        <v>500</v>
      </c>
      <c r="G123" s="520">
        <v>500</v>
      </c>
      <c r="H123" s="520">
        <v>500</v>
      </c>
      <c r="I123" s="520">
        <v>500</v>
      </c>
      <c r="J123" s="520">
        <v>500</v>
      </c>
      <c r="K123" s="520">
        <v>500</v>
      </c>
      <c r="L123" s="520">
        <v>500</v>
      </c>
      <c r="M123" s="658">
        <v>500</v>
      </c>
      <c r="N123" s="673">
        <f t="shared" si="27"/>
        <v>5000</v>
      </c>
      <c r="O123" s="542">
        <v>6000</v>
      </c>
      <c r="P123" s="521"/>
      <c r="Q123" s="543"/>
      <c r="R123" s="542">
        <v>6000</v>
      </c>
      <c r="S123" s="525">
        <f t="shared" si="15"/>
        <v>0</v>
      </c>
      <c r="T123" s="526"/>
    </row>
    <row r="124" spans="1:20" s="527" customFormat="1" ht="13">
      <c r="A124" s="519" t="s">
        <v>257</v>
      </c>
      <c r="B124" s="717">
        <v>0</v>
      </c>
      <c r="C124" s="717">
        <v>0</v>
      </c>
      <c r="D124" s="520">
        <v>0</v>
      </c>
      <c r="E124" s="520">
        <v>0</v>
      </c>
      <c r="F124" s="520">
        <v>0</v>
      </c>
      <c r="G124" s="520">
        <v>0</v>
      </c>
      <c r="H124" s="520">
        <v>0</v>
      </c>
      <c r="I124" s="520">
        <v>0</v>
      </c>
      <c r="J124" s="520">
        <v>0</v>
      </c>
      <c r="K124" s="520">
        <v>0</v>
      </c>
      <c r="L124" s="520">
        <v>0</v>
      </c>
      <c r="M124" s="658">
        <v>0</v>
      </c>
      <c r="N124" s="673">
        <f t="shared" si="27"/>
        <v>0</v>
      </c>
      <c r="O124" s="542">
        <v>0</v>
      </c>
      <c r="P124" s="521"/>
      <c r="Q124" s="543"/>
      <c r="R124" s="542">
        <v>24000</v>
      </c>
      <c r="S124" s="525">
        <f t="shared" si="15"/>
        <v>-24000</v>
      </c>
      <c r="T124" s="526"/>
    </row>
    <row r="125" spans="1:20" s="527" customFormat="1" ht="13">
      <c r="A125" s="519" t="s">
        <v>207</v>
      </c>
      <c r="B125" s="717">
        <v>0</v>
      </c>
      <c r="C125" s="717">
        <v>0</v>
      </c>
      <c r="D125" s="520">
        <v>2000</v>
      </c>
      <c r="E125" s="520">
        <v>2000</v>
      </c>
      <c r="F125" s="520">
        <v>2000</v>
      </c>
      <c r="G125" s="520">
        <v>2000</v>
      </c>
      <c r="H125" s="520">
        <v>2000</v>
      </c>
      <c r="I125" s="520">
        <v>2000</v>
      </c>
      <c r="J125" s="520">
        <v>2000</v>
      </c>
      <c r="K125" s="520">
        <v>2000</v>
      </c>
      <c r="L125" s="520">
        <v>2000</v>
      </c>
      <c r="M125" s="658">
        <v>2000</v>
      </c>
      <c r="N125" s="673">
        <f>SUM(B125:M125)</f>
        <v>20000</v>
      </c>
      <c r="O125" s="542">
        <v>24000</v>
      </c>
      <c r="P125" s="521"/>
      <c r="Q125" s="543"/>
      <c r="R125" s="542">
        <v>24000</v>
      </c>
      <c r="S125" s="525">
        <f t="shared" si="15"/>
        <v>0</v>
      </c>
      <c r="T125" s="526"/>
    </row>
    <row r="126" spans="1:20" s="527" customFormat="1" ht="26">
      <c r="A126" s="519" t="s">
        <v>258</v>
      </c>
      <c r="B126" s="717">
        <v>0</v>
      </c>
      <c r="C126" s="717">
        <v>0</v>
      </c>
      <c r="D126" s="520">
        <v>1000</v>
      </c>
      <c r="E126" s="520">
        <v>1000</v>
      </c>
      <c r="F126" s="520">
        <v>1000</v>
      </c>
      <c r="G126" s="520">
        <v>1000</v>
      </c>
      <c r="H126" s="520">
        <v>1000</v>
      </c>
      <c r="I126" s="520">
        <v>1000</v>
      </c>
      <c r="J126" s="520">
        <v>1000</v>
      </c>
      <c r="K126" s="520">
        <v>1000</v>
      </c>
      <c r="L126" s="520">
        <v>1000</v>
      </c>
      <c r="M126" s="658">
        <v>1000</v>
      </c>
      <c r="N126" s="673">
        <f>SUM(B126:M126)</f>
        <v>10000</v>
      </c>
      <c r="O126" s="542">
        <v>12000</v>
      </c>
      <c r="P126" s="521"/>
      <c r="Q126" s="543"/>
      <c r="R126" s="542">
        <v>48000</v>
      </c>
      <c r="S126" s="525">
        <f t="shared" si="15"/>
        <v>-36000</v>
      </c>
      <c r="T126" s="526" t="s">
        <v>265</v>
      </c>
    </row>
    <row r="127" spans="1:20" s="527" customFormat="1" ht="26">
      <c r="A127" s="519" t="s">
        <v>209</v>
      </c>
      <c r="B127" s="717">
        <v>0</v>
      </c>
      <c r="C127" s="717">
        <v>0</v>
      </c>
      <c r="D127" s="520">
        <v>0</v>
      </c>
      <c r="E127" s="520">
        <v>0</v>
      </c>
      <c r="F127" s="520">
        <v>0</v>
      </c>
      <c r="G127" s="520">
        <v>0</v>
      </c>
      <c r="H127" s="520">
        <v>0</v>
      </c>
      <c r="I127" s="520">
        <v>0</v>
      </c>
      <c r="J127" s="520">
        <v>0</v>
      </c>
      <c r="K127" s="520">
        <v>0</v>
      </c>
      <c r="L127" s="520">
        <v>0</v>
      </c>
      <c r="M127" s="658">
        <v>0</v>
      </c>
      <c r="N127" s="673">
        <f>SUM(B127:M127)</f>
        <v>0</v>
      </c>
      <c r="O127" s="542">
        <v>0</v>
      </c>
      <c r="P127" s="521"/>
      <c r="Q127" s="543"/>
      <c r="R127" s="542">
        <v>36000</v>
      </c>
      <c r="S127" s="525">
        <f t="shared" si="15"/>
        <v>-36000</v>
      </c>
      <c r="T127" s="526" t="s">
        <v>259</v>
      </c>
    </row>
    <row r="128" spans="1:20" s="267" customFormat="1" ht="13">
      <c r="A128" s="420" t="s">
        <v>210</v>
      </c>
      <c r="B128" s="713">
        <v>0</v>
      </c>
      <c r="C128" s="732">
        <v>0</v>
      </c>
      <c r="D128" s="271">
        <v>0</v>
      </c>
      <c r="E128" s="271">
        <v>0</v>
      </c>
      <c r="F128" s="271">
        <v>0</v>
      </c>
      <c r="G128" s="271">
        <v>0</v>
      </c>
      <c r="H128" s="271">
        <v>0</v>
      </c>
      <c r="I128" s="271">
        <v>0</v>
      </c>
      <c r="J128" s="271">
        <f>'Payroll Worksheet'!AH23</f>
        <v>0</v>
      </c>
      <c r="K128" s="271">
        <f>'Payroll Worksheet'!AI23</f>
        <v>0</v>
      </c>
      <c r="L128" s="271">
        <f>'Payroll Worksheet'!AJ23</f>
        <v>0</v>
      </c>
      <c r="M128" s="654">
        <f>'Payroll Worksheet'!AK23</f>
        <v>0</v>
      </c>
      <c r="N128" s="467">
        <f t="shared" si="27"/>
        <v>0</v>
      </c>
      <c r="O128" s="406">
        <v>0</v>
      </c>
      <c r="P128" s="271">
        <v>891.46</v>
      </c>
      <c r="Q128" s="274">
        <f>N128-P128</f>
        <v>-891.46</v>
      </c>
      <c r="R128" s="406">
        <v>0</v>
      </c>
      <c r="S128" s="398">
        <f t="shared" si="15"/>
        <v>0</v>
      </c>
      <c r="T128" s="500"/>
    </row>
    <row r="129" spans="1:41" s="267" customFormat="1" ht="13">
      <c r="A129" s="420" t="s">
        <v>211</v>
      </c>
      <c r="B129" s="713">
        <v>0</v>
      </c>
      <c r="C129" s="732">
        <v>0</v>
      </c>
      <c r="D129" s="271">
        <v>0</v>
      </c>
      <c r="E129" s="271">
        <v>0</v>
      </c>
      <c r="F129" s="271">
        <v>0</v>
      </c>
      <c r="G129" s="271">
        <v>0</v>
      </c>
      <c r="H129" s="271">
        <v>0</v>
      </c>
      <c r="I129" s="271">
        <v>0</v>
      </c>
      <c r="J129" s="271">
        <f>'Payroll Worksheet'!AH21</f>
        <v>0</v>
      </c>
      <c r="K129" s="271">
        <f>'Payroll Worksheet'!AI21</f>
        <v>0</v>
      </c>
      <c r="L129" s="271">
        <f>'Payroll Worksheet'!AJ21</f>
        <v>0</v>
      </c>
      <c r="M129" s="654">
        <f>'Payroll Worksheet'!AK21</f>
        <v>0</v>
      </c>
      <c r="N129" s="467">
        <f t="shared" si="27"/>
        <v>0</v>
      </c>
      <c r="O129" s="406">
        <v>0</v>
      </c>
      <c r="P129" s="271">
        <v>11652.939999999999</v>
      </c>
      <c r="Q129" s="274">
        <f>N129-P129</f>
        <v>-11652.939999999999</v>
      </c>
      <c r="R129" s="406">
        <v>0</v>
      </c>
      <c r="S129" s="398">
        <f t="shared" si="15"/>
        <v>0</v>
      </c>
      <c r="T129" s="500"/>
    </row>
    <row r="130" spans="1:41" s="267" customFormat="1" ht="13">
      <c r="A130" s="420" t="s">
        <v>213</v>
      </c>
      <c r="B130" s="713"/>
      <c r="C130" s="732"/>
      <c r="D130" s="271"/>
      <c r="E130" s="271"/>
      <c r="F130" s="271"/>
      <c r="G130" s="271"/>
      <c r="H130" s="271"/>
      <c r="I130" s="271"/>
      <c r="J130" s="271"/>
      <c r="K130" s="271"/>
      <c r="L130" s="271"/>
      <c r="M130" s="654"/>
      <c r="N130" s="467"/>
      <c r="O130" s="406"/>
      <c r="P130" s="271"/>
      <c r="Q130" s="274"/>
      <c r="R130" s="406"/>
      <c r="S130" s="398">
        <f t="shared" si="15"/>
        <v>0</v>
      </c>
      <c r="T130" s="500"/>
    </row>
    <row r="131" spans="1:41" s="267" customFormat="1" ht="13">
      <c r="A131" s="419" t="s">
        <v>214</v>
      </c>
      <c r="B131" s="724">
        <f t="shared" ref="B131:M131" si="28">SUM(B117:B130)</f>
        <v>39832</v>
      </c>
      <c r="C131" s="724">
        <f t="shared" si="28"/>
        <v>26883.5</v>
      </c>
      <c r="D131" s="469">
        <f t="shared" si="28"/>
        <v>27200</v>
      </c>
      <c r="E131" s="469">
        <f t="shared" si="28"/>
        <v>27200</v>
      </c>
      <c r="F131" s="469">
        <f t="shared" si="28"/>
        <v>27200</v>
      </c>
      <c r="G131" s="469">
        <f t="shared" si="28"/>
        <v>27200</v>
      </c>
      <c r="H131" s="469">
        <f t="shared" si="28"/>
        <v>23200</v>
      </c>
      <c r="I131" s="469">
        <f t="shared" si="28"/>
        <v>23200</v>
      </c>
      <c r="J131" s="469">
        <f t="shared" si="28"/>
        <v>23200</v>
      </c>
      <c r="K131" s="469">
        <f t="shared" si="28"/>
        <v>23200</v>
      </c>
      <c r="L131" s="469">
        <f t="shared" si="28"/>
        <v>23200</v>
      </c>
      <c r="M131" s="660">
        <f t="shared" si="28"/>
        <v>23200</v>
      </c>
      <c r="N131" s="467">
        <f>SUM(B131:M131)</f>
        <v>314715.5</v>
      </c>
      <c r="O131" s="406">
        <f>SUM(O117:O130)</f>
        <v>341900</v>
      </c>
      <c r="P131" s="276">
        <v>435205.91333333345</v>
      </c>
      <c r="Q131" s="276">
        <f>N131-P131</f>
        <v>-120490.41333333345</v>
      </c>
      <c r="R131" s="401">
        <f>SUM(R117:R130)</f>
        <v>656400</v>
      </c>
      <c r="S131" s="398">
        <f t="shared" si="15"/>
        <v>-314500</v>
      </c>
      <c r="T131" s="507"/>
    </row>
    <row r="132" spans="1:41" s="267" customFormat="1" ht="6" customHeight="1" thickBot="1">
      <c r="A132" s="419"/>
      <c r="B132" s="715"/>
      <c r="C132" s="715"/>
      <c r="D132" s="272"/>
      <c r="E132" s="272"/>
      <c r="F132" s="272"/>
      <c r="G132" s="272"/>
      <c r="H132" s="272"/>
      <c r="I132" s="272"/>
      <c r="J132" s="272"/>
      <c r="K132" s="272"/>
      <c r="L132" s="272"/>
      <c r="M132" s="656"/>
      <c r="N132" s="468"/>
      <c r="O132" s="397"/>
      <c r="P132" s="133"/>
      <c r="Q132" s="133"/>
      <c r="R132" s="397"/>
      <c r="S132" s="398">
        <f t="shared" si="15"/>
        <v>0</v>
      </c>
      <c r="T132" s="500"/>
    </row>
    <row r="133" spans="1:41" s="458" customFormat="1" ht="14" thickTop="1">
      <c r="A133" s="445" t="s">
        <v>107</v>
      </c>
      <c r="B133" s="725">
        <f t="shared" ref="B133:M133" si="29">B60+B76+B86+B108+B114+B131</f>
        <v>55478.240000000005</v>
      </c>
      <c r="C133" s="720">
        <f t="shared" si="29"/>
        <v>57507.97</v>
      </c>
      <c r="D133" s="446">
        <f t="shared" si="29"/>
        <v>49290</v>
      </c>
      <c r="E133" s="446">
        <f t="shared" si="29"/>
        <v>43705</v>
      </c>
      <c r="F133" s="446">
        <f t="shared" si="29"/>
        <v>39960</v>
      </c>
      <c r="G133" s="446">
        <f t="shared" si="29"/>
        <v>47110</v>
      </c>
      <c r="H133" s="446">
        <f t="shared" si="29"/>
        <v>44360</v>
      </c>
      <c r="I133" s="446">
        <f t="shared" si="29"/>
        <v>45860</v>
      </c>
      <c r="J133" s="446">
        <f t="shared" si="29"/>
        <v>54210</v>
      </c>
      <c r="K133" s="446">
        <f t="shared" si="29"/>
        <v>62360</v>
      </c>
      <c r="L133" s="446">
        <f t="shared" si="29"/>
        <v>36860</v>
      </c>
      <c r="M133" s="659">
        <f t="shared" si="29"/>
        <v>35110</v>
      </c>
      <c r="N133" s="647">
        <f>SUM(B133:M133)</f>
        <v>571811.21</v>
      </c>
      <c r="O133" s="455">
        <f>O60+O76+O86+O108+O114+O131</f>
        <v>760400</v>
      </c>
      <c r="P133" s="453">
        <v>791196.94333333336</v>
      </c>
      <c r="Q133" s="456">
        <f>N133-P133</f>
        <v>-219385.7333333334</v>
      </c>
      <c r="R133" s="455">
        <f>R60+R76+R86+R108+R114+R131</f>
        <v>1399300</v>
      </c>
      <c r="S133" s="398">
        <f t="shared" si="15"/>
        <v>-638900</v>
      </c>
      <c r="T133" s="508"/>
    </row>
    <row r="134" spans="1:41" s="368" customFormat="1" ht="13" thickBot="1">
      <c r="A134" s="419"/>
      <c r="B134" s="726"/>
      <c r="C134" s="726"/>
      <c r="D134" s="277"/>
      <c r="E134" s="277"/>
      <c r="F134" s="277"/>
      <c r="G134" s="277"/>
      <c r="H134" s="277"/>
      <c r="I134" s="277"/>
      <c r="J134" s="277"/>
      <c r="K134" s="277"/>
      <c r="L134" s="277"/>
      <c r="M134" s="662"/>
      <c r="N134" s="468"/>
      <c r="O134" s="397"/>
      <c r="P134" s="285"/>
      <c r="Q134" s="285"/>
      <c r="R134" s="397"/>
      <c r="S134" s="398">
        <f t="shared" ref="S134:S135" si="30">O134-R134</f>
        <v>0</v>
      </c>
      <c r="T134" s="502"/>
    </row>
    <row r="135" spans="1:41" s="466" customFormat="1" ht="14" thickBot="1">
      <c r="A135" s="459" t="s">
        <v>108</v>
      </c>
      <c r="B135" s="727">
        <f t="shared" ref="B135:O135" si="31">B48-B133</f>
        <v>6240.3799999999901</v>
      </c>
      <c r="C135" s="727">
        <f t="shared" si="31"/>
        <v>-37661.25</v>
      </c>
      <c r="D135" s="460" t="e">
        <f t="shared" si="31"/>
        <v>#REF!</v>
      </c>
      <c r="E135" s="460" t="e">
        <f t="shared" si="31"/>
        <v>#REF!</v>
      </c>
      <c r="F135" s="460" t="e">
        <f t="shared" si="31"/>
        <v>#REF!</v>
      </c>
      <c r="G135" s="460" t="e">
        <f t="shared" si="31"/>
        <v>#REF!</v>
      </c>
      <c r="H135" s="460" t="e">
        <f t="shared" si="31"/>
        <v>#REF!</v>
      </c>
      <c r="I135" s="460" t="e">
        <f t="shared" si="31"/>
        <v>#REF!</v>
      </c>
      <c r="J135" s="460" t="e">
        <f t="shared" si="31"/>
        <v>#REF!</v>
      </c>
      <c r="K135" s="460" t="e">
        <f t="shared" si="31"/>
        <v>#REF!</v>
      </c>
      <c r="L135" s="460" t="e">
        <f t="shared" si="31"/>
        <v>#REF!</v>
      </c>
      <c r="M135" s="663" t="e">
        <f t="shared" si="31"/>
        <v>#REF!</v>
      </c>
      <c r="N135" s="648" t="e">
        <f t="shared" si="31"/>
        <v>#REF!</v>
      </c>
      <c r="O135" s="463">
        <f t="shared" si="31"/>
        <v>-124800</v>
      </c>
      <c r="P135" s="460">
        <v>388579.43666666653</v>
      </c>
      <c r="Q135" s="464"/>
      <c r="R135" s="463">
        <f>R48-R133</f>
        <v>1072800</v>
      </c>
      <c r="S135" s="398">
        <f t="shared" si="30"/>
        <v>-1197600</v>
      </c>
      <c r="T135" s="509"/>
    </row>
    <row r="136" spans="1:41" s="267" customFormat="1" ht="12">
      <c r="A136" s="420"/>
      <c r="B136" s="712"/>
      <c r="C136" s="731"/>
      <c r="D136" s="270"/>
      <c r="E136" s="270"/>
      <c r="F136" s="270"/>
      <c r="G136" s="270"/>
      <c r="H136" s="270"/>
      <c r="I136" s="270"/>
      <c r="J136" s="270"/>
      <c r="K136" s="270"/>
      <c r="L136" s="270"/>
      <c r="M136" s="653"/>
      <c r="N136" s="468"/>
      <c r="O136" s="397"/>
      <c r="P136" s="133"/>
      <c r="Q136" s="133"/>
      <c r="R136" s="133"/>
      <c r="S136" s="394"/>
      <c r="T136" s="500"/>
    </row>
    <row r="137" spans="1:41" s="285" customFormat="1" ht="12">
      <c r="A137" s="427" t="s">
        <v>215</v>
      </c>
      <c r="B137" s="728">
        <v>172646.63</v>
      </c>
      <c r="C137" s="742">
        <f t="shared" ref="C137:M137" si="32">B139</f>
        <v>178887.01</v>
      </c>
      <c r="D137" s="371">
        <f t="shared" si="32"/>
        <v>141225.76</v>
      </c>
      <c r="E137" s="275" t="e">
        <f t="shared" si="32"/>
        <v>#REF!</v>
      </c>
      <c r="F137" s="275" t="e">
        <f t="shared" si="32"/>
        <v>#REF!</v>
      </c>
      <c r="G137" s="275" t="e">
        <f t="shared" si="32"/>
        <v>#REF!</v>
      </c>
      <c r="H137" s="275" t="e">
        <f t="shared" si="32"/>
        <v>#REF!</v>
      </c>
      <c r="I137" s="275" t="e">
        <f t="shared" si="32"/>
        <v>#REF!</v>
      </c>
      <c r="J137" s="275" t="e">
        <f t="shared" si="32"/>
        <v>#REF!</v>
      </c>
      <c r="K137" s="275" t="e">
        <f t="shared" si="32"/>
        <v>#REF!</v>
      </c>
      <c r="L137" s="275" t="e">
        <f t="shared" si="32"/>
        <v>#REF!</v>
      </c>
      <c r="M137" s="664" t="e">
        <f t="shared" si="32"/>
        <v>#REF!</v>
      </c>
      <c r="N137" s="468"/>
      <c r="O137" s="397"/>
      <c r="P137" s="275" t="e">
        <f>P124+#REF!+P70</f>
        <v>#REF!</v>
      </c>
      <c r="Q137" s="275"/>
      <c r="R137" s="275"/>
      <c r="S137" s="394"/>
      <c r="T137" s="510"/>
    </row>
    <row r="138" spans="1:41" s="267" customFormat="1" ht="12">
      <c r="A138" s="421"/>
      <c r="B138" s="722"/>
      <c r="C138" s="733"/>
      <c r="D138" s="371"/>
      <c r="E138" s="273"/>
      <c r="F138" s="273"/>
      <c r="G138" s="273"/>
      <c r="H138" s="273"/>
      <c r="I138" s="273"/>
      <c r="J138" s="273"/>
      <c r="K138" s="273"/>
      <c r="L138" s="273"/>
      <c r="M138" s="657"/>
      <c r="N138" s="468"/>
      <c r="O138" s="397"/>
      <c r="P138" s="133"/>
      <c r="Q138" s="133"/>
      <c r="R138" s="133"/>
      <c r="S138" s="394"/>
      <c r="T138" s="500"/>
    </row>
    <row r="139" spans="1:41" s="376" customFormat="1" ht="12">
      <c r="A139" s="428" t="s">
        <v>216</v>
      </c>
      <c r="B139" s="728">
        <f>B135+B137</f>
        <v>178887.01</v>
      </c>
      <c r="C139" s="742">
        <f t="shared" ref="C139:M139" si="33">C135+C137</f>
        <v>141225.76</v>
      </c>
      <c r="D139" s="375" t="e">
        <f t="shared" si="33"/>
        <v>#REF!</v>
      </c>
      <c r="E139" s="374" t="e">
        <f t="shared" si="33"/>
        <v>#REF!</v>
      </c>
      <c r="F139" s="374" t="e">
        <f t="shared" si="33"/>
        <v>#REF!</v>
      </c>
      <c r="G139" s="374" t="e">
        <f t="shared" si="33"/>
        <v>#REF!</v>
      </c>
      <c r="H139" s="374" t="e">
        <f t="shared" si="33"/>
        <v>#REF!</v>
      </c>
      <c r="I139" s="374" t="e">
        <f t="shared" si="33"/>
        <v>#REF!</v>
      </c>
      <c r="J139" s="374" t="e">
        <f t="shared" si="33"/>
        <v>#REF!</v>
      </c>
      <c r="K139" s="374" t="e">
        <f t="shared" si="33"/>
        <v>#REF!</v>
      </c>
      <c r="L139" s="374" t="e">
        <f t="shared" si="33"/>
        <v>#REF!</v>
      </c>
      <c r="M139" s="665" t="e">
        <f t="shared" si="33"/>
        <v>#REF!</v>
      </c>
      <c r="N139" s="468"/>
      <c r="O139" s="397"/>
      <c r="P139" s="373"/>
      <c r="Q139" s="373"/>
      <c r="R139" s="373"/>
      <c r="S139" s="394"/>
      <c r="T139" s="502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</row>
    <row r="140" spans="1:41" s="376" customFormat="1" ht="12">
      <c r="A140" s="427"/>
      <c r="B140" s="728"/>
      <c r="C140" s="742"/>
      <c r="D140" s="371"/>
      <c r="E140" s="275"/>
      <c r="F140" s="275"/>
      <c r="G140" s="275"/>
      <c r="H140" s="275"/>
      <c r="I140" s="275"/>
      <c r="J140" s="275"/>
      <c r="K140" s="275"/>
      <c r="L140" s="275"/>
      <c r="M140" s="664"/>
      <c r="N140" s="468"/>
      <c r="O140" s="397"/>
      <c r="P140" s="373"/>
      <c r="Q140" s="373"/>
      <c r="R140" s="373"/>
      <c r="S140" s="394"/>
      <c r="T140" s="502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</row>
    <row r="141" spans="1:41" s="267" customFormat="1" ht="26">
      <c r="A141" s="419" t="s">
        <v>217</v>
      </c>
      <c r="B141" s="729">
        <v>135576</v>
      </c>
      <c r="C141" s="743">
        <v>114996</v>
      </c>
      <c r="D141" s="371">
        <v>96766</v>
      </c>
      <c r="E141" s="269">
        <v>66136</v>
      </c>
      <c r="F141" s="269">
        <v>44906</v>
      </c>
      <c r="G141" s="269">
        <v>45996</v>
      </c>
      <c r="H141" s="269">
        <v>16710</v>
      </c>
      <c r="I141" s="269">
        <v>34713</v>
      </c>
      <c r="J141" s="269">
        <v>5992</v>
      </c>
      <c r="K141" s="269">
        <v>58073</v>
      </c>
      <c r="L141" s="269">
        <v>67637</v>
      </c>
      <c r="M141" s="666">
        <v>104489</v>
      </c>
      <c r="N141" s="649"/>
      <c r="O141" s="411"/>
      <c r="P141" s="133"/>
      <c r="Q141" s="133"/>
      <c r="R141" s="133"/>
      <c r="S141" s="394"/>
      <c r="T141" s="500"/>
    </row>
    <row r="142" spans="1:41">
      <c r="A142" s="417"/>
      <c r="B142" s="291"/>
      <c r="C142" s="291"/>
      <c r="D142" s="371"/>
      <c r="E142" s="301"/>
      <c r="F142" s="301"/>
      <c r="G142" s="301"/>
      <c r="H142" s="301"/>
      <c r="I142" s="301"/>
      <c r="J142" s="301"/>
      <c r="K142" s="301"/>
      <c r="L142" s="301"/>
      <c r="M142" s="667"/>
      <c r="N142" s="412"/>
      <c r="T142" s="501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</row>
    <row r="143" spans="1:41" ht="27">
      <c r="A143" s="419" t="s">
        <v>261</v>
      </c>
      <c r="B143" s="685"/>
      <c r="C143" s="685"/>
      <c r="D143" s="294"/>
      <c r="E143" s="294"/>
      <c r="F143" s="294"/>
      <c r="G143" s="294"/>
      <c r="H143" s="294"/>
      <c r="I143" s="294"/>
      <c r="J143" s="294"/>
      <c r="K143" s="294"/>
      <c r="L143" s="294"/>
      <c r="M143" s="650"/>
      <c r="N143" s="686"/>
      <c r="T143" s="501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</row>
    <row r="144" spans="1:41">
      <c r="A144" s="687">
        <v>100000</v>
      </c>
      <c r="B144" s="133"/>
      <c r="C144" s="133"/>
      <c r="D144" s="688"/>
      <c r="E144" s="688" t="e">
        <f>IF(E139,(100000-E139)/95)</f>
        <v>#REF!</v>
      </c>
      <c r="F144" s="688" t="e">
        <f>-F135/95</f>
        <v>#REF!</v>
      </c>
      <c r="G144" s="688"/>
      <c r="H144" s="688" t="e">
        <f t="shared" ref="H144:J144" si="34">-H135/95</f>
        <v>#REF!</v>
      </c>
      <c r="I144" s="688"/>
      <c r="J144" s="688" t="e">
        <f t="shared" si="34"/>
        <v>#REF!</v>
      </c>
      <c r="K144" s="688"/>
      <c r="L144" s="688"/>
      <c r="M144" s="650"/>
      <c r="N144" s="686" t="e">
        <f t="shared" ref="N144:N145" si="35">SUM(B144:M144)</f>
        <v>#REF!</v>
      </c>
      <c r="T144" s="501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</row>
    <row r="145" spans="1:41">
      <c r="A145" s="687">
        <v>200000</v>
      </c>
      <c r="B145" s="688">
        <f>(200000-B137-B135)/95</f>
        <v>222.24200000000005</v>
      </c>
      <c r="C145" s="688">
        <f>-C135/95</f>
        <v>396.43421052631578</v>
      </c>
      <c r="D145" s="688" t="e">
        <f t="shared" ref="D145:J145" si="36">-D135/95</f>
        <v>#REF!</v>
      </c>
      <c r="E145" s="688" t="e">
        <f t="shared" si="36"/>
        <v>#REF!</v>
      </c>
      <c r="F145" s="688" t="e">
        <f t="shared" si="36"/>
        <v>#REF!</v>
      </c>
      <c r="G145" s="688"/>
      <c r="H145" s="688" t="e">
        <f t="shared" si="36"/>
        <v>#REF!</v>
      </c>
      <c r="I145" s="688"/>
      <c r="J145" s="688" t="e">
        <f t="shared" si="36"/>
        <v>#REF!</v>
      </c>
      <c r="K145" s="688"/>
      <c r="L145" s="688"/>
      <c r="M145" s="689"/>
      <c r="N145" s="686" t="e">
        <f t="shared" si="35"/>
        <v>#REF!</v>
      </c>
      <c r="T145" s="501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FE90F-541F-1644-9DCE-CAE12EC4175A}">
  <dimension ref="A1:AO145"/>
  <sheetViews>
    <sheetView zoomScale="170" zoomScaleNormal="170" zoomScalePageLayoutView="150" workbookViewId="0">
      <pane xSplit="1" ySplit="3" topLeftCell="B100" activePane="bottomRight" state="frozen"/>
      <selection pane="topRight" activeCell="AW1" sqref="AW1"/>
      <selection pane="bottomLeft" activeCell="A4" sqref="A4"/>
      <selection pane="bottomRight" activeCell="N58" sqref="N58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668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6" style="133" customWidth="1"/>
    <col min="19" max="19" width="15.1640625" style="394" customWidth="1"/>
    <col min="20" max="20" width="20.6640625" style="512" customWidth="1"/>
    <col min="21" max="16384" width="8.83203125" style="121"/>
  </cols>
  <sheetData>
    <row r="1" spans="1:20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650"/>
      <c r="T1" s="501"/>
    </row>
    <row r="2" spans="1:20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T2" s="501"/>
    </row>
    <row r="3" spans="1:20" s="638" customFormat="1" ht="2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640" t="s">
        <v>112</v>
      </c>
      <c r="O3" s="636" t="s">
        <v>113</v>
      </c>
      <c r="P3" s="637" t="s">
        <v>114</v>
      </c>
      <c r="Q3" s="637" t="s">
        <v>115</v>
      </c>
      <c r="R3" s="637" t="s">
        <v>228</v>
      </c>
      <c r="S3" s="433" t="s">
        <v>239</v>
      </c>
      <c r="T3" s="490"/>
    </row>
    <row r="4" spans="1:20" s="267" customFormat="1" ht="13">
      <c r="A4" s="419" t="s">
        <v>9</v>
      </c>
      <c r="B4" s="712"/>
      <c r="C4" s="731"/>
      <c r="D4" s="270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397"/>
      <c r="P4" s="133"/>
      <c r="Q4" s="133"/>
      <c r="R4" s="133"/>
      <c r="S4" s="398">
        <f>O4-R4</f>
        <v>0</v>
      </c>
      <c r="T4" s="500"/>
    </row>
    <row r="5" spans="1:20" s="267" customFormat="1" ht="13">
      <c r="A5" s="419" t="s">
        <v>10</v>
      </c>
      <c r="B5" s="713"/>
      <c r="C5" s="732"/>
      <c r="D5" s="271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397"/>
      <c r="P5" s="271"/>
      <c r="Q5" s="133"/>
      <c r="R5" s="133"/>
      <c r="S5" s="398">
        <f t="shared" ref="S5:S69" si="0">O5-R5</f>
        <v>0</v>
      </c>
      <c r="T5" s="500"/>
    </row>
    <row r="6" spans="1:20" s="267" customFormat="1" ht="13">
      <c r="A6" s="420" t="s">
        <v>11</v>
      </c>
      <c r="B6" s="713">
        <v>20000</v>
      </c>
      <c r="C6" s="732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1" si="1">SUM(B6:M6)</f>
        <v>20000</v>
      </c>
      <c r="O6" s="397">
        <v>0</v>
      </c>
      <c r="P6" s="271">
        <v>0</v>
      </c>
      <c r="Q6" s="274">
        <f>N6-P6</f>
        <v>20000</v>
      </c>
      <c r="R6" s="397">
        <v>0</v>
      </c>
      <c r="S6" s="398">
        <f t="shared" si="0"/>
        <v>0</v>
      </c>
      <c r="T6" s="500"/>
    </row>
    <row r="7" spans="1:20" s="267" customFormat="1" ht="13">
      <c r="A7" s="420" t="s">
        <v>118</v>
      </c>
      <c r="B7" s="713">
        <v>0</v>
      </c>
      <c r="C7" s="713">
        <v>0</v>
      </c>
      <c r="D7" s="678">
        <v>0</v>
      </c>
      <c r="E7" s="678">
        <v>0</v>
      </c>
      <c r="F7" s="679">
        <v>10000</v>
      </c>
      <c r="G7" s="679">
        <v>0</v>
      </c>
      <c r="H7" s="679">
        <v>1100</v>
      </c>
      <c r="I7" s="679">
        <v>600</v>
      </c>
      <c r="J7" s="679">
        <v>600</v>
      </c>
      <c r="K7" s="679">
        <v>0</v>
      </c>
      <c r="L7" s="679">
        <v>0</v>
      </c>
      <c r="M7" s="680">
        <v>0</v>
      </c>
      <c r="N7" s="468">
        <f t="shared" si="1"/>
        <v>12300</v>
      </c>
      <c r="O7" s="397">
        <v>12300</v>
      </c>
      <c r="P7" s="271"/>
      <c r="Q7" s="274">
        <f t="shared" ref="Q7:Q23" si="2">N7-P7</f>
        <v>12300</v>
      </c>
      <c r="R7" s="397">
        <v>47000</v>
      </c>
      <c r="S7" s="398">
        <f t="shared" si="0"/>
        <v>-34700</v>
      </c>
      <c r="T7" s="500"/>
    </row>
    <row r="8" spans="1:20" s="267" customFormat="1" ht="13">
      <c r="A8" s="420" t="s">
        <v>13</v>
      </c>
      <c r="B8" s="713">
        <v>0</v>
      </c>
      <c r="C8" s="732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654">
        <v>0</v>
      </c>
      <c r="N8" s="468">
        <f t="shared" si="1"/>
        <v>0</v>
      </c>
      <c r="O8" s="397">
        <v>0</v>
      </c>
      <c r="P8" s="271">
        <v>5000</v>
      </c>
      <c r="Q8" s="274">
        <f t="shared" si="2"/>
        <v>-5000</v>
      </c>
      <c r="R8" s="397">
        <v>0</v>
      </c>
      <c r="S8" s="398">
        <f t="shared" si="0"/>
        <v>0</v>
      </c>
      <c r="T8" s="500"/>
    </row>
    <row r="9" spans="1:20" s="267" customFormat="1" ht="12">
      <c r="A9" s="421" t="s">
        <v>119</v>
      </c>
      <c r="B9" s="713">
        <v>14250</v>
      </c>
      <c r="C9" s="732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654">
        <v>3750</v>
      </c>
      <c r="N9" s="468">
        <f t="shared" si="1"/>
        <v>48000</v>
      </c>
      <c r="O9" s="399">
        <v>40000</v>
      </c>
      <c r="P9" s="271">
        <v>77000</v>
      </c>
      <c r="Q9" s="274">
        <f t="shared" si="2"/>
        <v>-29000</v>
      </c>
      <c r="R9" s="399">
        <v>40000</v>
      </c>
      <c r="S9" s="398">
        <f t="shared" si="0"/>
        <v>0</v>
      </c>
      <c r="T9" s="500"/>
    </row>
    <row r="10" spans="1:20" s="267" customFormat="1" ht="15" customHeight="1">
      <c r="A10" s="420" t="s">
        <v>121</v>
      </c>
      <c r="B10" s="713">
        <v>21123.75</v>
      </c>
      <c r="C10" s="732">
        <v>8503.81</v>
      </c>
      <c r="D10" s="271">
        <v>24400</v>
      </c>
      <c r="E10" s="271">
        <v>6600</v>
      </c>
      <c r="F10" s="271">
        <v>8700</v>
      </c>
      <c r="G10" s="271">
        <v>7900</v>
      </c>
      <c r="H10" s="271">
        <v>5500</v>
      </c>
      <c r="I10" s="748">
        <v>35000</v>
      </c>
      <c r="J10" s="271">
        <v>3800</v>
      </c>
      <c r="K10" s="748">
        <v>0</v>
      </c>
      <c r="L10" s="271">
        <v>15000</v>
      </c>
      <c r="M10" s="654">
        <v>35000</v>
      </c>
      <c r="N10" s="468">
        <f t="shared" si="1"/>
        <v>171527.56</v>
      </c>
      <c r="O10" s="397">
        <v>236600</v>
      </c>
      <c r="P10" s="271">
        <v>697365.77</v>
      </c>
      <c r="Q10" s="274">
        <f t="shared" si="2"/>
        <v>-525838.21</v>
      </c>
      <c r="R10" s="397">
        <v>236600</v>
      </c>
      <c r="S10" s="398">
        <f t="shared" si="0"/>
        <v>0</v>
      </c>
      <c r="T10" s="500"/>
    </row>
    <row r="11" spans="1:20" s="267" customFormat="1" ht="13">
      <c r="A11" s="437" t="s">
        <v>19</v>
      </c>
      <c r="B11" s="714">
        <f t="shared" ref="B11:M11" si="3">SUM(B6:B10)</f>
        <v>55373.75</v>
      </c>
      <c r="C11" s="714">
        <f t="shared" si="3"/>
        <v>9753.81</v>
      </c>
      <c r="D11" s="276">
        <f t="shared" si="3"/>
        <v>26900</v>
      </c>
      <c r="E11" s="276">
        <f t="shared" si="3"/>
        <v>7850</v>
      </c>
      <c r="F11" s="276">
        <f t="shared" si="3"/>
        <v>19950</v>
      </c>
      <c r="G11" s="276">
        <f t="shared" si="3"/>
        <v>15400</v>
      </c>
      <c r="H11" s="276">
        <f t="shared" si="3"/>
        <v>7850</v>
      </c>
      <c r="I11" s="276">
        <f t="shared" si="3"/>
        <v>36850</v>
      </c>
      <c r="J11" s="276">
        <f t="shared" si="3"/>
        <v>15650</v>
      </c>
      <c r="K11" s="276">
        <f t="shared" si="3"/>
        <v>1250</v>
      </c>
      <c r="L11" s="276">
        <f t="shared" si="3"/>
        <v>16250</v>
      </c>
      <c r="M11" s="655">
        <f t="shared" si="3"/>
        <v>38750</v>
      </c>
      <c r="N11" s="641">
        <f t="shared" si="1"/>
        <v>251827.56</v>
      </c>
      <c r="O11" s="440">
        <f>SUM(O6:O10)</f>
        <v>288900</v>
      </c>
      <c r="P11" s="276">
        <v>779365.77</v>
      </c>
      <c r="Q11" s="275">
        <f t="shared" si="2"/>
        <v>-527538.21</v>
      </c>
      <c r="R11" s="440">
        <f>SUM(R6:R10)</f>
        <v>323600</v>
      </c>
      <c r="S11" s="398">
        <f t="shared" si="0"/>
        <v>-34700</v>
      </c>
      <c r="T11" s="500"/>
    </row>
    <row r="12" spans="1:20" s="267" customFormat="1" ht="6" customHeight="1">
      <c r="A12" s="420"/>
      <c r="B12" s="715"/>
      <c r="C12" s="715"/>
      <c r="D12" s="272"/>
      <c r="E12" s="272"/>
      <c r="F12" s="272"/>
      <c r="G12" s="272"/>
      <c r="H12" s="272"/>
      <c r="I12" s="272"/>
      <c r="J12" s="272"/>
      <c r="K12" s="272"/>
      <c r="L12" s="272"/>
      <c r="M12" s="656"/>
      <c r="N12" s="468"/>
      <c r="O12" s="397"/>
      <c r="P12" s="133"/>
      <c r="Q12" s="274"/>
      <c r="R12" s="397"/>
      <c r="S12" s="398">
        <f t="shared" si="0"/>
        <v>0</v>
      </c>
      <c r="T12" s="500"/>
    </row>
    <row r="13" spans="1:20" s="267" customFormat="1" ht="13">
      <c r="A13" s="419" t="s">
        <v>122</v>
      </c>
      <c r="B13" s="713"/>
      <c r="C13" s="732"/>
      <c r="D13" s="271"/>
      <c r="E13" s="271"/>
      <c r="F13" s="271"/>
      <c r="G13" s="271"/>
      <c r="H13" s="271"/>
      <c r="I13" s="271"/>
      <c r="J13" s="271"/>
      <c r="K13" s="271"/>
      <c r="L13" s="271"/>
      <c r="M13" s="654"/>
      <c r="N13" s="468"/>
      <c r="O13" s="397"/>
      <c r="P13" s="271"/>
      <c r="Q13" s="274"/>
      <c r="R13" s="397"/>
      <c r="S13" s="398">
        <f t="shared" si="0"/>
        <v>0</v>
      </c>
      <c r="T13" s="500"/>
    </row>
    <row r="14" spans="1:20" s="267" customFormat="1" ht="13">
      <c r="A14" s="420" t="s">
        <v>21</v>
      </c>
      <c r="B14" s="713">
        <v>0</v>
      </c>
      <c r="C14" s="732">
        <v>0</v>
      </c>
      <c r="D14" s="271">
        <v>0</v>
      </c>
      <c r="E14" s="271">
        <v>0</v>
      </c>
      <c r="F14" s="271">
        <v>0</v>
      </c>
      <c r="G14" s="271">
        <v>0</v>
      </c>
      <c r="H14" s="746">
        <v>0</v>
      </c>
      <c r="I14" s="746">
        <v>0</v>
      </c>
      <c r="J14" s="746">
        <v>0</v>
      </c>
      <c r="K14" s="746">
        <v>0</v>
      </c>
      <c r="L14" s="271">
        <v>0</v>
      </c>
      <c r="M14" s="654">
        <f>0</f>
        <v>0</v>
      </c>
      <c r="N14" s="468">
        <f>SUM(B14:M14)</f>
        <v>0</v>
      </c>
      <c r="O14" s="397">
        <v>102000</v>
      </c>
      <c r="P14" s="271"/>
      <c r="Q14" s="274"/>
      <c r="R14" s="523">
        <v>102000</v>
      </c>
      <c r="S14" s="398">
        <f t="shared" si="0"/>
        <v>0</v>
      </c>
      <c r="T14" s="500"/>
    </row>
    <row r="15" spans="1:20" s="267" customFormat="1" ht="13">
      <c r="A15" s="419" t="s">
        <v>124</v>
      </c>
      <c r="B15" s="713">
        <v>0</v>
      </c>
      <c r="C15" s="732">
        <f>0</f>
        <v>0</v>
      </c>
      <c r="D15" s="271">
        <v>0</v>
      </c>
      <c r="E15" s="271">
        <v>0</v>
      </c>
      <c r="F15" s="271">
        <v>0</v>
      </c>
      <c r="G15" s="271">
        <f>0</f>
        <v>0</v>
      </c>
      <c r="H15" s="746">
        <v>0</v>
      </c>
      <c r="I15" s="746">
        <f>0</f>
        <v>0</v>
      </c>
      <c r="J15" s="746">
        <v>0</v>
      </c>
      <c r="K15" s="746">
        <f>0</f>
        <v>0</v>
      </c>
      <c r="L15" s="271">
        <f>0</f>
        <v>0</v>
      </c>
      <c r="M15" s="654">
        <f>0</f>
        <v>0</v>
      </c>
      <c r="N15" s="468">
        <f>SUM(B15:M15)</f>
        <v>0</v>
      </c>
      <c r="O15" s="397">
        <v>30000</v>
      </c>
      <c r="P15" s="271"/>
      <c r="Q15" s="274"/>
      <c r="R15" s="397">
        <v>30000</v>
      </c>
      <c r="S15" s="398">
        <f t="shared" si="0"/>
        <v>0</v>
      </c>
      <c r="T15" s="500"/>
    </row>
    <row r="16" spans="1:20" s="267" customFormat="1" ht="13">
      <c r="A16" s="420" t="s">
        <v>25</v>
      </c>
      <c r="B16" s="713">
        <v>0</v>
      </c>
      <c r="C16" s="732">
        <f>0</f>
        <v>0</v>
      </c>
      <c r="D16" s="271">
        <f>0</f>
        <v>0</v>
      </c>
      <c r="E16" s="271">
        <f>0</f>
        <v>0</v>
      </c>
      <c r="F16" s="271">
        <v>0</v>
      </c>
      <c r="G16" s="278">
        <f>0</f>
        <v>0</v>
      </c>
      <c r="H16" s="746">
        <f>0</f>
        <v>0</v>
      </c>
      <c r="I16" s="746">
        <f>0</f>
        <v>0</v>
      </c>
      <c r="J16" s="746">
        <f>0</f>
        <v>0</v>
      </c>
      <c r="K16" s="746">
        <f>0</f>
        <v>0</v>
      </c>
      <c r="L16" s="271">
        <f>0</f>
        <v>0</v>
      </c>
      <c r="M16" s="654">
        <f>0</f>
        <v>0</v>
      </c>
      <c r="N16" s="468">
        <f>SUM(B16:M16)</f>
        <v>0</v>
      </c>
      <c r="O16" s="397">
        <v>0</v>
      </c>
      <c r="P16" s="271"/>
      <c r="Q16" s="274"/>
      <c r="R16" s="397">
        <v>0</v>
      </c>
      <c r="S16" s="398">
        <f t="shared" si="0"/>
        <v>0</v>
      </c>
      <c r="T16" s="500"/>
    </row>
    <row r="17" spans="1:20" s="368" customFormat="1" ht="13">
      <c r="A17" s="419" t="s">
        <v>125</v>
      </c>
      <c r="B17" s="714">
        <f>SUM(B14:B16)</f>
        <v>0</v>
      </c>
      <c r="C17" s="714">
        <f t="shared" ref="C17:M17" si="4">SUM(C14:C16)</f>
        <v>0</v>
      </c>
      <c r="D17" s="276">
        <f t="shared" si="4"/>
        <v>0</v>
      </c>
      <c r="E17" s="276">
        <f t="shared" si="4"/>
        <v>0</v>
      </c>
      <c r="F17" s="276">
        <f t="shared" si="4"/>
        <v>0</v>
      </c>
      <c r="G17" s="276">
        <f t="shared" si="4"/>
        <v>0</v>
      </c>
      <c r="H17" s="747">
        <f t="shared" si="4"/>
        <v>0</v>
      </c>
      <c r="I17" s="747">
        <f t="shared" si="4"/>
        <v>0</v>
      </c>
      <c r="J17" s="747">
        <f t="shared" si="4"/>
        <v>0</v>
      </c>
      <c r="K17" s="747">
        <f t="shared" si="4"/>
        <v>0</v>
      </c>
      <c r="L17" s="276">
        <f t="shared" si="4"/>
        <v>0</v>
      </c>
      <c r="M17" s="655">
        <f t="shared" si="4"/>
        <v>0</v>
      </c>
      <c r="N17" s="750">
        <f>SUM(B17:M17)</f>
        <v>0</v>
      </c>
      <c r="O17" s="440">
        <f>SUM(O14:O16)</f>
        <v>132000</v>
      </c>
      <c r="P17" s="276"/>
      <c r="Q17" s="276"/>
      <c r="R17" s="440">
        <f>SUM(R14:R16)</f>
        <v>132000</v>
      </c>
      <c r="S17" s="398">
        <f t="shared" si="0"/>
        <v>0</v>
      </c>
      <c r="T17" s="502"/>
    </row>
    <row r="18" spans="1:20" s="267" customFormat="1" ht="6" customHeight="1">
      <c r="A18" s="420"/>
      <c r="B18" s="715"/>
      <c r="C18" s="715"/>
      <c r="D18" s="272"/>
      <c r="E18" s="272"/>
      <c r="F18" s="272"/>
      <c r="G18" s="272"/>
      <c r="H18" s="272"/>
      <c r="I18" s="272"/>
      <c r="J18" s="272"/>
      <c r="K18" s="272"/>
      <c r="L18" s="272"/>
      <c r="M18" s="656"/>
      <c r="N18" s="468"/>
      <c r="O18" s="397"/>
      <c r="P18" s="272"/>
      <c r="Q18" s="274"/>
      <c r="R18" s="397"/>
      <c r="S18" s="398">
        <f t="shared" si="0"/>
        <v>0</v>
      </c>
      <c r="T18" s="500"/>
    </row>
    <row r="19" spans="1:20" s="267" customFormat="1" ht="13">
      <c r="A19" s="419" t="s">
        <v>27</v>
      </c>
      <c r="B19" s="713"/>
      <c r="C19" s="732"/>
      <c r="D19" s="271"/>
      <c r="E19" s="271"/>
      <c r="F19" s="271"/>
      <c r="G19" s="271"/>
      <c r="H19" s="271"/>
      <c r="I19" s="271"/>
      <c r="J19" s="271"/>
      <c r="K19" s="271"/>
      <c r="L19" s="271"/>
      <c r="M19" s="654"/>
      <c r="N19" s="468"/>
      <c r="O19" s="397"/>
      <c r="P19" s="271"/>
      <c r="Q19" s="274"/>
      <c r="R19" s="397"/>
      <c r="S19" s="398">
        <f t="shared" si="0"/>
        <v>0</v>
      </c>
      <c r="T19" s="500"/>
    </row>
    <row r="20" spans="1:20" s="267" customFormat="1" ht="13">
      <c r="A20" s="420" t="s">
        <v>126</v>
      </c>
      <c r="B20" s="713">
        <f>0</f>
        <v>0</v>
      </c>
      <c r="C20" s="732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654">
        <f>0</f>
        <v>0</v>
      </c>
      <c r="N20" s="468">
        <f>SUM(B20:M20)</f>
        <v>0</v>
      </c>
      <c r="O20" s="397">
        <v>0</v>
      </c>
      <c r="P20" s="271">
        <v>-651.64999999999986</v>
      </c>
      <c r="Q20" s="274">
        <f t="shared" si="2"/>
        <v>651.64999999999986</v>
      </c>
      <c r="R20" s="397">
        <v>0</v>
      </c>
      <c r="S20" s="398">
        <f t="shared" si="0"/>
        <v>0</v>
      </c>
      <c r="T20" s="500"/>
    </row>
    <row r="21" spans="1:20" s="267" customFormat="1" ht="13">
      <c r="A21" s="420" t="s">
        <v>127</v>
      </c>
      <c r="B21" s="716">
        <v>42.03</v>
      </c>
      <c r="C21" s="716">
        <v>37.43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707">
        <v>0</v>
      </c>
      <c r="N21" s="468">
        <f>SUM(B21:M21)</f>
        <v>79.460000000000008</v>
      </c>
      <c r="O21" s="397">
        <v>4200</v>
      </c>
      <c r="P21" s="274"/>
      <c r="Q21" s="274">
        <f t="shared" si="2"/>
        <v>79.460000000000008</v>
      </c>
      <c r="R21" s="397">
        <v>4200</v>
      </c>
      <c r="S21" s="398">
        <f t="shared" si="0"/>
        <v>0</v>
      </c>
      <c r="T21" s="500"/>
    </row>
    <row r="22" spans="1:20" s="267" customFormat="1" ht="13">
      <c r="A22" s="420" t="s">
        <v>128</v>
      </c>
      <c r="B22" s="713"/>
      <c r="C22" s="733"/>
      <c r="D22" s="273"/>
      <c r="E22" s="273"/>
      <c r="F22" s="273"/>
      <c r="G22" s="273"/>
      <c r="H22" s="273"/>
      <c r="I22" s="273"/>
      <c r="J22" s="273"/>
      <c r="K22" s="273"/>
      <c r="L22" s="273"/>
      <c r="M22" s="657"/>
      <c r="N22" s="468">
        <f>SUM(B22:M22)</f>
        <v>0</v>
      </c>
      <c r="O22" s="397">
        <v>0</v>
      </c>
      <c r="P22" s="274"/>
      <c r="Q22" s="274">
        <f t="shared" si="2"/>
        <v>0</v>
      </c>
      <c r="R22" s="397">
        <v>0</v>
      </c>
      <c r="S22" s="398">
        <f t="shared" si="0"/>
        <v>0</v>
      </c>
      <c r="T22" s="500"/>
    </row>
    <row r="23" spans="1:20" s="267" customFormat="1" ht="13">
      <c r="A23" s="422" t="s">
        <v>29</v>
      </c>
      <c r="B23" s="714">
        <f>SUM(B19:B22)</f>
        <v>42.03</v>
      </c>
      <c r="C23" s="714">
        <f>SUM(C20:C22)</f>
        <v>37.43</v>
      </c>
      <c r="D23" s="276">
        <f t="shared" ref="D23:M23" si="5">SUM(D20:D22)</f>
        <v>0</v>
      </c>
      <c r="E23" s="276">
        <f t="shared" si="5"/>
        <v>0</v>
      </c>
      <c r="F23" s="276">
        <f t="shared" si="5"/>
        <v>0</v>
      </c>
      <c r="G23" s="276">
        <f t="shared" si="5"/>
        <v>0</v>
      </c>
      <c r="H23" s="276">
        <f>SUM(H19:H22)</f>
        <v>0</v>
      </c>
      <c r="I23" s="276">
        <f t="shared" si="5"/>
        <v>0</v>
      </c>
      <c r="J23" s="276">
        <f t="shared" si="5"/>
        <v>0</v>
      </c>
      <c r="K23" s="276">
        <f t="shared" si="5"/>
        <v>0</v>
      </c>
      <c r="L23" s="276">
        <f t="shared" si="5"/>
        <v>0</v>
      </c>
      <c r="M23" s="655">
        <f t="shared" si="5"/>
        <v>0</v>
      </c>
      <c r="N23" s="641">
        <f>SUM(B23:M23)</f>
        <v>79.460000000000008</v>
      </c>
      <c r="O23" s="440">
        <f>SUM(O20:O22)</f>
        <v>4200</v>
      </c>
      <c r="P23" s="276">
        <v>-651.64999999999986</v>
      </c>
      <c r="Q23" s="276">
        <f t="shared" si="2"/>
        <v>731.1099999999999</v>
      </c>
      <c r="R23" s="440">
        <f>SUM(R20:R22)</f>
        <v>4200</v>
      </c>
      <c r="S23" s="398">
        <f t="shared" si="0"/>
        <v>0</v>
      </c>
      <c r="T23" s="500"/>
    </row>
    <row r="24" spans="1:20" s="267" customFormat="1" ht="6" customHeight="1">
      <c r="A24" s="420"/>
      <c r="B24" s="715"/>
      <c r="C24" s="715"/>
      <c r="D24" s="272"/>
      <c r="E24" s="272"/>
      <c r="F24" s="272"/>
      <c r="G24" s="272"/>
      <c r="H24" s="272"/>
      <c r="I24" s="272"/>
      <c r="J24" s="272"/>
      <c r="K24" s="272"/>
      <c r="L24" s="272"/>
      <c r="M24" s="656"/>
      <c r="N24" s="468"/>
      <c r="O24" s="397"/>
      <c r="P24" s="133"/>
      <c r="Q24" s="133"/>
      <c r="R24" s="133"/>
      <c r="S24" s="398">
        <f t="shared" si="0"/>
        <v>0</v>
      </c>
      <c r="T24" s="500"/>
    </row>
    <row r="25" spans="1:20" s="267" customFormat="1" ht="13">
      <c r="A25" s="419" t="s">
        <v>30</v>
      </c>
      <c r="B25" s="713"/>
      <c r="C25" s="732"/>
      <c r="D25" s="271"/>
      <c r="E25" s="271"/>
      <c r="F25" s="271"/>
      <c r="G25" s="271"/>
      <c r="H25" s="271"/>
      <c r="I25" s="271"/>
      <c r="J25" s="271"/>
      <c r="K25" s="271"/>
      <c r="L25" s="271"/>
      <c r="M25" s="654"/>
      <c r="N25" s="468"/>
      <c r="O25" s="397"/>
      <c r="P25" s="133"/>
      <c r="Q25" s="133"/>
      <c r="R25" s="133"/>
      <c r="S25" s="398">
        <f t="shared" si="0"/>
        <v>0</v>
      </c>
      <c r="T25" s="500"/>
    </row>
    <row r="26" spans="1:20" s="267" customFormat="1" ht="13">
      <c r="A26" s="420" t="s">
        <v>31</v>
      </c>
      <c r="B26" s="713">
        <v>6.84</v>
      </c>
      <c r="C26" s="732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654">
        <v>0</v>
      </c>
      <c r="N26" s="468">
        <f t="shared" ref="N26:N44" si="6">SUM(B26:M26)</f>
        <v>6.84</v>
      </c>
      <c r="O26" s="397">
        <v>0</v>
      </c>
      <c r="P26" s="271">
        <v>6.1899999999999995</v>
      </c>
      <c r="Q26" s="274">
        <f>N26-P26</f>
        <v>0.65000000000000036</v>
      </c>
      <c r="R26" s="397">
        <v>0</v>
      </c>
      <c r="S26" s="398">
        <f t="shared" si="0"/>
        <v>0</v>
      </c>
      <c r="T26" s="500"/>
    </row>
    <row r="27" spans="1:20" s="267" customFormat="1" ht="13">
      <c r="A27" s="420" t="s">
        <v>129</v>
      </c>
      <c r="B27" s="713">
        <v>0</v>
      </c>
      <c r="C27" s="732">
        <v>10.48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654">
        <v>0</v>
      </c>
      <c r="N27" s="468">
        <f t="shared" si="6"/>
        <v>10.48</v>
      </c>
      <c r="O27" s="397">
        <v>0</v>
      </c>
      <c r="P27" s="271">
        <v>288.74999999999994</v>
      </c>
      <c r="Q27" s="274">
        <f t="shared" ref="Q27:Q44" si="7">N27-P27</f>
        <v>-278.26999999999992</v>
      </c>
      <c r="R27" s="397">
        <v>0</v>
      </c>
      <c r="S27" s="398">
        <f t="shared" si="0"/>
        <v>0</v>
      </c>
      <c r="T27" s="500"/>
    </row>
    <row r="28" spans="1:20" s="267" customFormat="1" ht="13">
      <c r="A28" s="420" t="s">
        <v>130</v>
      </c>
      <c r="B28" s="713">
        <v>0</v>
      </c>
      <c r="C28" s="713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654">
        <v>0</v>
      </c>
      <c r="N28" s="468">
        <f t="shared" si="6"/>
        <v>0</v>
      </c>
      <c r="O28" s="397">
        <v>0</v>
      </c>
      <c r="P28" s="271"/>
      <c r="Q28" s="274">
        <f t="shared" si="7"/>
        <v>0</v>
      </c>
      <c r="R28" s="397">
        <v>0</v>
      </c>
      <c r="S28" s="398">
        <f t="shared" si="0"/>
        <v>0</v>
      </c>
      <c r="T28" s="500"/>
    </row>
    <row r="29" spans="1:20" s="267" customFormat="1" ht="13" hidden="1">
      <c r="A29" s="420" t="s">
        <v>131</v>
      </c>
      <c r="B29" s="713"/>
      <c r="C29" s="732"/>
      <c r="D29" s="271"/>
      <c r="E29" s="271"/>
      <c r="F29" s="271"/>
      <c r="G29" s="271"/>
      <c r="H29" s="271"/>
      <c r="I29" s="271"/>
      <c r="J29" s="271"/>
      <c r="K29" s="271"/>
      <c r="L29" s="271"/>
      <c r="M29" s="654"/>
      <c r="N29" s="468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397">
        <v>0</v>
      </c>
      <c r="S29" s="398">
        <f t="shared" si="0"/>
        <v>0</v>
      </c>
      <c r="T29" s="500"/>
    </row>
    <row r="30" spans="1:20" s="267" customFormat="1" ht="13" hidden="1">
      <c r="A30" s="420" t="s">
        <v>132</v>
      </c>
      <c r="B30" s="713"/>
      <c r="C30" s="732"/>
      <c r="D30" s="271"/>
      <c r="E30" s="271"/>
      <c r="F30" s="271"/>
      <c r="G30" s="271"/>
      <c r="H30" s="271"/>
      <c r="I30" s="271"/>
      <c r="J30" s="271"/>
      <c r="K30" s="271"/>
      <c r="L30" s="271"/>
      <c r="M30" s="654"/>
      <c r="N30" s="468">
        <f t="shared" si="6"/>
        <v>0</v>
      </c>
      <c r="O30" s="397">
        <v>0</v>
      </c>
      <c r="P30" s="271">
        <v>0</v>
      </c>
      <c r="Q30" s="274">
        <f t="shared" si="7"/>
        <v>0</v>
      </c>
      <c r="R30" s="397">
        <v>0</v>
      </c>
      <c r="S30" s="398">
        <f t="shared" si="0"/>
        <v>0</v>
      </c>
      <c r="T30" s="500"/>
    </row>
    <row r="31" spans="1:20" s="267" customFormat="1" ht="13" hidden="1">
      <c r="A31" s="420" t="s">
        <v>133</v>
      </c>
      <c r="B31" s="713"/>
      <c r="C31" s="732"/>
      <c r="D31" s="271"/>
      <c r="E31" s="271"/>
      <c r="F31" s="271"/>
      <c r="G31" s="271"/>
      <c r="H31" s="271"/>
      <c r="I31" s="271"/>
      <c r="J31" s="271"/>
      <c r="K31" s="271"/>
      <c r="L31" s="271"/>
      <c r="M31" s="654"/>
      <c r="N31" s="468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397">
        <v>0</v>
      </c>
      <c r="S31" s="398">
        <f t="shared" si="0"/>
        <v>0</v>
      </c>
      <c r="T31" s="500"/>
    </row>
    <row r="32" spans="1:20" s="267" customFormat="1" ht="13">
      <c r="A32" s="420" t="s">
        <v>39</v>
      </c>
      <c r="B32" s="713"/>
      <c r="C32" s="713"/>
      <c r="D32" s="278"/>
      <c r="E32" s="278"/>
      <c r="F32" s="278"/>
      <c r="G32" s="278"/>
      <c r="H32" s="278"/>
      <c r="I32" s="278"/>
      <c r="J32" s="278"/>
      <c r="K32" s="278"/>
      <c r="L32" s="278"/>
      <c r="M32" s="654"/>
      <c r="N32" s="468"/>
      <c r="O32" s="397"/>
      <c r="P32" s="271">
        <v>99794.28</v>
      </c>
      <c r="Q32" s="274">
        <f t="shared" si="7"/>
        <v>-99794.28</v>
      </c>
      <c r="R32" s="397"/>
      <c r="S32" s="398">
        <f t="shared" si="0"/>
        <v>0</v>
      </c>
      <c r="T32" s="500"/>
    </row>
    <row r="33" spans="1:23" s="527" customFormat="1" ht="39">
      <c r="A33" s="519" t="s">
        <v>134</v>
      </c>
      <c r="B33" s="717">
        <v>0</v>
      </c>
      <c r="C33" s="717">
        <v>0</v>
      </c>
      <c r="D33" s="520">
        <v>0</v>
      </c>
      <c r="E33" s="520">
        <v>0</v>
      </c>
      <c r="F33" s="520">
        <v>0</v>
      </c>
      <c r="G33" s="520">
        <v>0</v>
      </c>
      <c r="H33" s="520">
        <v>0</v>
      </c>
      <c r="I33" s="520">
        <v>0</v>
      </c>
      <c r="J33" s="520">
        <v>0</v>
      </c>
      <c r="K33" s="520">
        <v>0</v>
      </c>
      <c r="L33" s="520">
        <v>0</v>
      </c>
      <c r="M33" s="658">
        <v>0</v>
      </c>
      <c r="N33" s="642">
        <f t="shared" ref="N33:N38" si="8">SUM(B33:M33)</f>
        <v>0</v>
      </c>
      <c r="O33" s="523">
        <v>1800</v>
      </c>
      <c r="P33" s="521"/>
      <c r="Q33" s="524"/>
      <c r="R33" s="523">
        <v>7200</v>
      </c>
      <c r="S33" s="525">
        <f t="shared" si="0"/>
        <v>-5400</v>
      </c>
      <c r="T33" s="526" t="s">
        <v>240</v>
      </c>
    </row>
    <row r="34" spans="1:23" s="527" customFormat="1" ht="39">
      <c r="A34" s="519" t="s">
        <v>135</v>
      </c>
      <c r="B34" s="717">
        <v>0</v>
      </c>
      <c r="C34" s="717">
        <v>0</v>
      </c>
      <c r="D34" s="520">
        <v>0</v>
      </c>
      <c r="E34" s="520">
        <v>0</v>
      </c>
      <c r="F34" s="520">
        <v>0</v>
      </c>
      <c r="G34" s="520">
        <v>0</v>
      </c>
      <c r="H34" s="520">
        <v>0</v>
      </c>
      <c r="I34" s="520">
        <v>0</v>
      </c>
      <c r="J34" s="520">
        <v>0</v>
      </c>
      <c r="K34" s="520">
        <v>0</v>
      </c>
      <c r="L34" s="520">
        <v>0</v>
      </c>
      <c r="M34" s="658">
        <v>0</v>
      </c>
      <c r="N34" s="642">
        <f t="shared" si="8"/>
        <v>0</v>
      </c>
      <c r="O34" s="523">
        <v>3000</v>
      </c>
      <c r="P34" s="521"/>
      <c r="Q34" s="524"/>
      <c r="R34" s="523">
        <v>25200</v>
      </c>
      <c r="S34" s="525">
        <f t="shared" si="0"/>
        <v>-22200</v>
      </c>
      <c r="T34" s="526" t="s">
        <v>241</v>
      </c>
    </row>
    <row r="35" spans="1:23" s="527" customFormat="1" ht="86" customHeight="1">
      <c r="A35" s="519" t="s">
        <v>136</v>
      </c>
      <c r="B35" s="718">
        <f>Assumptions!B6</f>
        <v>0</v>
      </c>
      <c r="C35" s="718">
        <v>2660</v>
      </c>
      <c r="D35" s="744" t="e">
        <f>#REF!</f>
        <v>#REF!</v>
      </c>
      <c r="E35" s="744" t="e">
        <f>#REF!</f>
        <v>#REF!</v>
      </c>
      <c r="F35" s="744" t="e">
        <f>#REF!</f>
        <v>#REF!</v>
      </c>
      <c r="G35" s="744" t="e">
        <f>#REF!</f>
        <v>#REF!</v>
      </c>
      <c r="H35" s="744" t="e">
        <f>#REF!</f>
        <v>#REF!</v>
      </c>
      <c r="I35" s="744" t="e">
        <f>#REF!</f>
        <v>#REF!</v>
      </c>
      <c r="J35" s="744" t="e">
        <f>#REF!</f>
        <v>#REF!</v>
      </c>
      <c r="K35" s="744" t="e">
        <f>#REF!</f>
        <v>#REF!</v>
      </c>
      <c r="L35" s="744" t="e">
        <f>#REF!</f>
        <v>#REF!</v>
      </c>
      <c r="M35" s="745" t="e">
        <f>#REF!</f>
        <v>#REF!</v>
      </c>
      <c r="N35" s="642" t="e">
        <f t="shared" si="8"/>
        <v>#REF!</v>
      </c>
      <c r="O35" s="523">
        <v>155000</v>
      </c>
      <c r="P35" s="521"/>
      <c r="Q35" s="524"/>
      <c r="R35" s="523">
        <v>1706000</v>
      </c>
      <c r="S35" s="525">
        <f t="shared" si="0"/>
        <v>-1551000</v>
      </c>
      <c r="T35" s="526" t="s">
        <v>242</v>
      </c>
    </row>
    <row r="36" spans="1:23" s="267" customFormat="1" ht="13">
      <c r="A36" s="420" t="s">
        <v>137</v>
      </c>
      <c r="B36" s="713"/>
      <c r="C36" s="713">
        <v>0</v>
      </c>
      <c r="D36" s="677">
        <f>'Lean Assumptions'!D8</f>
        <v>2280</v>
      </c>
      <c r="E36" s="677">
        <f>'Lean Assumptions'!E8</f>
        <v>2280</v>
      </c>
      <c r="F36" s="677">
        <f>'Lean Assumptions'!F8</f>
        <v>2280</v>
      </c>
      <c r="G36" s="677">
        <f>'Lean Assumptions'!G8</f>
        <v>2280</v>
      </c>
      <c r="H36" s="677">
        <f>'Lean Assumptions'!H8</f>
        <v>2280</v>
      </c>
      <c r="I36" s="677">
        <f>'Lean Assumptions'!I8</f>
        <v>2280</v>
      </c>
      <c r="J36" s="677">
        <f>'Lean Assumptions'!J8</f>
        <v>2280</v>
      </c>
      <c r="K36" s="677">
        <f>'Lean Assumptions'!K8</f>
        <v>2280</v>
      </c>
      <c r="L36" s="677">
        <f>'Lean Assumptions'!L8</f>
        <v>2280</v>
      </c>
      <c r="M36" s="745">
        <f>'Lean Assumptions'!M8</f>
        <v>2280</v>
      </c>
      <c r="N36" s="468">
        <f>SUM(B36:M36)</f>
        <v>22800</v>
      </c>
      <c r="O36" s="397">
        <v>36000</v>
      </c>
      <c r="P36" s="271">
        <v>15873</v>
      </c>
      <c r="Q36" s="274">
        <f t="shared" si="7"/>
        <v>6927</v>
      </c>
      <c r="R36" s="397">
        <v>151200</v>
      </c>
      <c r="S36" s="398">
        <f t="shared" si="0"/>
        <v>-115200</v>
      </c>
      <c r="T36" s="500"/>
    </row>
    <row r="37" spans="1:23" s="527" customFormat="1" ht="26">
      <c r="A37" s="519" t="s">
        <v>243</v>
      </c>
      <c r="B37" s="717">
        <v>6296</v>
      </c>
      <c r="C37" s="717">
        <v>7385</v>
      </c>
      <c r="D37" s="520">
        <v>1500</v>
      </c>
      <c r="E37" s="520">
        <v>1500</v>
      </c>
      <c r="F37" s="520">
        <v>1500</v>
      </c>
      <c r="G37" s="520">
        <v>0</v>
      </c>
      <c r="H37" s="520">
        <v>0</v>
      </c>
      <c r="I37" s="521">
        <v>0</v>
      </c>
      <c r="J37" s="521">
        <v>0</v>
      </c>
      <c r="K37" s="521">
        <v>0</v>
      </c>
      <c r="L37" s="521">
        <v>0</v>
      </c>
      <c r="M37" s="658">
        <v>0</v>
      </c>
      <c r="N37" s="642">
        <f t="shared" si="8"/>
        <v>18181</v>
      </c>
      <c r="O37" s="523">
        <v>11000</v>
      </c>
      <c r="P37" s="521"/>
      <c r="Q37" s="524"/>
      <c r="R37" s="523">
        <v>174000</v>
      </c>
      <c r="S37" s="525">
        <f t="shared" si="0"/>
        <v>-163000</v>
      </c>
      <c r="T37" s="526" t="s">
        <v>244</v>
      </c>
    </row>
    <row r="38" spans="1:23" s="267" customFormat="1" ht="13">
      <c r="A38" s="420" t="s">
        <v>139</v>
      </c>
      <c r="B38" s="713">
        <v>0</v>
      </c>
      <c r="C38" s="713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654">
        <v>0</v>
      </c>
      <c r="N38" s="468">
        <f t="shared" si="8"/>
        <v>0</v>
      </c>
      <c r="O38" s="397">
        <v>0</v>
      </c>
      <c r="P38" s="271"/>
      <c r="Q38" s="274">
        <f>N38-P38</f>
        <v>0</v>
      </c>
      <c r="R38" s="397">
        <v>0</v>
      </c>
      <c r="S38" s="398">
        <f t="shared" si="0"/>
        <v>0</v>
      </c>
      <c r="T38" s="500"/>
    </row>
    <row r="39" spans="1:23" s="267" customFormat="1" ht="12">
      <c r="A39" s="420"/>
      <c r="B39" s="713"/>
      <c r="C39" s="732"/>
      <c r="D39" s="271"/>
      <c r="E39" s="271"/>
      <c r="F39" s="271"/>
      <c r="G39" s="271"/>
      <c r="H39" s="271"/>
      <c r="I39" s="271"/>
      <c r="J39" s="271"/>
      <c r="K39" s="271"/>
      <c r="L39" s="271"/>
      <c r="M39" s="654"/>
      <c r="N39" s="468"/>
      <c r="O39" s="397"/>
      <c r="P39" s="271"/>
      <c r="Q39" s="274"/>
      <c r="R39" s="397"/>
      <c r="S39" s="398">
        <f t="shared" si="0"/>
        <v>0</v>
      </c>
      <c r="T39" s="500"/>
    </row>
    <row r="40" spans="1:23" s="267" customFormat="1" ht="13">
      <c r="A40" s="420" t="s">
        <v>140</v>
      </c>
      <c r="B40" s="719">
        <v>0</v>
      </c>
      <c r="C40" s="713">
        <v>0</v>
      </c>
      <c r="D40" s="271">
        <v>0</v>
      </c>
      <c r="E40" s="271">
        <v>0</v>
      </c>
      <c r="F40" s="271">
        <v>-10000</v>
      </c>
      <c r="G40" s="271">
        <v>0</v>
      </c>
      <c r="H40" s="271">
        <v>0</v>
      </c>
      <c r="I40" s="271">
        <v>0</v>
      </c>
      <c r="J40" s="271"/>
      <c r="K40" s="271">
        <v>0</v>
      </c>
      <c r="L40" s="271">
        <v>0</v>
      </c>
      <c r="M40" s="654">
        <v>0</v>
      </c>
      <c r="N40" s="468">
        <f>SUM(B40:M40)</f>
        <v>-10000</v>
      </c>
      <c r="O40" s="397">
        <v>-20000</v>
      </c>
      <c r="P40" s="271"/>
      <c r="Q40" s="274"/>
      <c r="R40" s="397">
        <v>-20000</v>
      </c>
      <c r="S40" s="398">
        <f t="shared" si="0"/>
        <v>0</v>
      </c>
      <c r="T40" s="500"/>
    </row>
    <row r="41" spans="1:23" s="267" customFormat="1" ht="13">
      <c r="A41" s="420" t="s">
        <v>141</v>
      </c>
      <c r="B41" s="713">
        <v>0</v>
      </c>
      <c r="C41" s="713">
        <v>0</v>
      </c>
      <c r="D41" s="730">
        <v>0</v>
      </c>
      <c r="E41" s="278">
        <v>0</v>
      </c>
      <c r="F41" s="271">
        <v>0</v>
      </c>
      <c r="G41" s="730">
        <v>0</v>
      </c>
      <c r="H41" s="271">
        <v>0</v>
      </c>
      <c r="I41" s="271">
        <v>0</v>
      </c>
      <c r="J41" s="730">
        <v>0</v>
      </c>
      <c r="K41" s="271">
        <v>0</v>
      </c>
      <c r="L41" s="271">
        <v>0</v>
      </c>
      <c r="M41" s="730">
        <v>0</v>
      </c>
      <c r="N41" s="468">
        <f t="shared" si="6"/>
        <v>0</v>
      </c>
      <c r="O41" s="397">
        <v>22500</v>
      </c>
      <c r="P41" s="271"/>
      <c r="Q41" s="274">
        <f t="shared" si="7"/>
        <v>0</v>
      </c>
      <c r="R41" s="397">
        <v>22500</v>
      </c>
      <c r="S41" s="398">
        <f t="shared" si="0"/>
        <v>0</v>
      </c>
      <c r="T41" s="500"/>
    </row>
    <row r="42" spans="1:23" s="267" customFormat="1" ht="13">
      <c r="A42" s="420" t="s">
        <v>142</v>
      </c>
      <c r="B42" s="713">
        <v>0</v>
      </c>
      <c r="C42" s="713">
        <v>0</v>
      </c>
      <c r="D42" s="278">
        <v>0</v>
      </c>
      <c r="E42" s="278">
        <v>0</v>
      </c>
      <c r="F42" s="278">
        <v>0</v>
      </c>
      <c r="G42" s="278">
        <v>0</v>
      </c>
      <c r="H42" s="278">
        <v>0</v>
      </c>
      <c r="I42" s="278">
        <v>0</v>
      </c>
      <c r="J42" s="278">
        <v>300</v>
      </c>
      <c r="K42" s="278">
        <v>300</v>
      </c>
      <c r="L42" s="278">
        <v>300</v>
      </c>
      <c r="M42" s="654">
        <v>300</v>
      </c>
      <c r="N42" s="443">
        <f>SUM(B42:M42)</f>
        <v>1200</v>
      </c>
      <c r="O42" s="397">
        <v>1200</v>
      </c>
      <c r="P42" s="278"/>
      <c r="Q42" s="286"/>
      <c r="R42" s="397">
        <v>8200</v>
      </c>
      <c r="S42" s="398">
        <f t="shared" si="0"/>
        <v>-7000</v>
      </c>
      <c r="T42" s="503"/>
      <c r="U42" s="369"/>
      <c r="V42" s="369"/>
      <c r="W42" s="369"/>
    </row>
    <row r="43" spans="1:23" s="267" customFormat="1" ht="13">
      <c r="A43" s="420" t="s">
        <v>41</v>
      </c>
      <c r="B43" s="713">
        <f>0</f>
        <v>0</v>
      </c>
      <c r="C43" s="732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654">
        <f>0</f>
        <v>0</v>
      </c>
      <c r="N43" s="468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397">
        <v>0</v>
      </c>
      <c r="S43" s="398">
        <f t="shared" si="0"/>
        <v>0</v>
      </c>
      <c r="T43" s="500"/>
    </row>
    <row r="44" spans="1:23" s="438" customFormat="1" ht="13">
      <c r="A44" s="437" t="s">
        <v>42</v>
      </c>
      <c r="B44" s="714">
        <f t="shared" ref="B44:M44" si="9">SUM(B26:B43)</f>
        <v>6302.84</v>
      </c>
      <c r="C44" s="714">
        <f t="shared" si="9"/>
        <v>10055.48</v>
      </c>
      <c r="D44" s="276" t="e">
        <f t="shared" si="9"/>
        <v>#REF!</v>
      </c>
      <c r="E44" s="276" t="e">
        <f t="shared" si="9"/>
        <v>#REF!</v>
      </c>
      <c r="F44" s="276" t="e">
        <f t="shared" si="9"/>
        <v>#REF!</v>
      </c>
      <c r="G44" s="276" t="e">
        <f t="shared" si="9"/>
        <v>#REF!</v>
      </c>
      <c r="H44" s="276" t="e">
        <f t="shared" si="9"/>
        <v>#REF!</v>
      </c>
      <c r="I44" s="276" t="e">
        <f t="shared" si="9"/>
        <v>#REF!</v>
      </c>
      <c r="J44" s="276" t="e">
        <f t="shared" si="9"/>
        <v>#REF!</v>
      </c>
      <c r="K44" s="276" t="e">
        <f t="shared" si="9"/>
        <v>#REF!</v>
      </c>
      <c r="L44" s="276" t="e">
        <f t="shared" si="9"/>
        <v>#REF!</v>
      </c>
      <c r="M44" s="655" t="e">
        <f t="shared" si="9"/>
        <v>#REF!</v>
      </c>
      <c r="N44" s="641" t="e">
        <f t="shared" si="6"/>
        <v>#REF!</v>
      </c>
      <c r="O44" s="440">
        <f>SUM(O26:O43)</f>
        <v>210500</v>
      </c>
      <c r="P44" s="276">
        <v>401062.26</v>
      </c>
      <c r="Q44" s="276" t="e">
        <f t="shared" si="7"/>
        <v>#REF!</v>
      </c>
      <c r="R44" s="440">
        <f>SUM(R26:R43)</f>
        <v>2074300</v>
      </c>
      <c r="S44" s="398">
        <f t="shared" si="0"/>
        <v>-1863800</v>
      </c>
      <c r="T44" s="504"/>
    </row>
    <row r="45" spans="1:23" s="267" customFormat="1" ht="6" customHeight="1">
      <c r="A45" s="419"/>
      <c r="B45" s="715"/>
      <c r="C45" s="715"/>
      <c r="D45" s="272"/>
      <c r="E45" s="272"/>
      <c r="F45" s="272"/>
      <c r="G45" s="272"/>
      <c r="H45" s="272"/>
      <c r="I45" s="272"/>
      <c r="J45" s="272"/>
      <c r="K45" s="272"/>
      <c r="L45" s="272"/>
      <c r="M45" s="656"/>
      <c r="N45" s="468"/>
      <c r="O45" s="397"/>
      <c r="P45" s="133"/>
      <c r="Q45" s="133"/>
      <c r="R45" s="397"/>
      <c r="S45" s="398">
        <f t="shared" si="0"/>
        <v>0</v>
      </c>
      <c r="T45" s="500"/>
    </row>
    <row r="46" spans="1:23" s="267" customFormat="1" ht="13">
      <c r="A46" s="420" t="s">
        <v>43</v>
      </c>
      <c r="B46" s="713">
        <v>0</v>
      </c>
      <c r="C46" s="713">
        <v>0</v>
      </c>
      <c r="D46" s="278">
        <v>0</v>
      </c>
      <c r="E46" s="278">
        <v>0</v>
      </c>
      <c r="F46" s="278">
        <v>0</v>
      </c>
      <c r="G46" s="278">
        <v>0</v>
      </c>
      <c r="H46" s="278">
        <v>0</v>
      </c>
      <c r="I46" s="278">
        <v>0</v>
      </c>
      <c r="J46" s="278">
        <v>0</v>
      </c>
      <c r="K46" s="278">
        <v>0</v>
      </c>
      <c r="L46" s="278">
        <v>0</v>
      </c>
      <c r="M46" s="654">
        <v>0</v>
      </c>
      <c r="N46" s="468">
        <f>SUM(B46:M46)</f>
        <v>0</v>
      </c>
      <c r="O46" s="399">
        <v>0</v>
      </c>
      <c r="P46" s="271">
        <v>0</v>
      </c>
      <c r="Q46" s="274">
        <f>N46-P46</f>
        <v>0</v>
      </c>
      <c r="R46" s="399">
        <v>-62000</v>
      </c>
      <c r="S46" s="398">
        <f t="shared" si="0"/>
        <v>62000</v>
      </c>
      <c r="T46" s="500" t="s">
        <v>220</v>
      </c>
    </row>
    <row r="47" spans="1:23" s="267" customFormat="1" ht="14" thickBot="1">
      <c r="A47" s="420" t="s">
        <v>143</v>
      </c>
      <c r="B47" s="713">
        <f>0</f>
        <v>0</v>
      </c>
      <c r="C47" s="732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654">
        <f>0</f>
        <v>0</v>
      </c>
      <c r="N47" s="468">
        <f>SUM(B47:M47)</f>
        <v>0</v>
      </c>
      <c r="O47" s="397">
        <v>0</v>
      </c>
      <c r="P47" s="271">
        <v>0</v>
      </c>
      <c r="Q47" s="274">
        <f>N47-P47</f>
        <v>0</v>
      </c>
      <c r="R47" s="397">
        <v>0</v>
      </c>
      <c r="S47" s="398">
        <f t="shared" si="0"/>
        <v>0</v>
      </c>
      <c r="T47" s="500"/>
    </row>
    <row r="48" spans="1:23" s="452" customFormat="1" ht="14" thickTop="1">
      <c r="A48" s="445" t="s">
        <v>45</v>
      </c>
      <c r="B48" s="720">
        <f t="shared" ref="B48:M48" si="10">(((((B11)+(B17))+(B23))+(B44))+(B46))+(B47)</f>
        <v>61718.619999999995</v>
      </c>
      <c r="C48" s="720">
        <f t="shared" si="10"/>
        <v>19846.72</v>
      </c>
      <c r="D48" s="446" t="e">
        <f t="shared" si="10"/>
        <v>#REF!</v>
      </c>
      <c r="E48" s="446" t="e">
        <f t="shared" si="10"/>
        <v>#REF!</v>
      </c>
      <c r="F48" s="446" t="e">
        <f t="shared" si="10"/>
        <v>#REF!</v>
      </c>
      <c r="G48" s="446" t="e">
        <f t="shared" si="10"/>
        <v>#REF!</v>
      </c>
      <c r="H48" s="446" t="e">
        <f t="shared" si="10"/>
        <v>#REF!</v>
      </c>
      <c r="I48" s="446" t="e">
        <f t="shared" si="10"/>
        <v>#REF!</v>
      </c>
      <c r="J48" s="446" t="e">
        <f t="shared" si="10"/>
        <v>#REF!</v>
      </c>
      <c r="K48" s="446" t="e">
        <f t="shared" si="10"/>
        <v>#REF!</v>
      </c>
      <c r="L48" s="446" t="e">
        <f t="shared" si="10"/>
        <v>#REF!</v>
      </c>
      <c r="M48" s="659" t="e">
        <f t="shared" si="10"/>
        <v>#REF!</v>
      </c>
      <c r="N48" s="643" t="e">
        <f>SUM(B48:M48)</f>
        <v>#REF!</v>
      </c>
      <c r="O48" s="449">
        <f>SUM(O11,O17,O23,O44,O46,O47)</f>
        <v>635600</v>
      </c>
      <c r="P48" s="446">
        <v>1179776.3799999999</v>
      </c>
      <c r="Q48" s="450" t="e">
        <f>N48-P48</f>
        <v>#REF!</v>
      </c>
      <c r="R48" s="449">
        <f>SUM(R11,R17,R23,R44,R46,R47)</f>
        <v>2472100</v>
      </c>
      <c r="S48" s="398">
        <f t="shared" si="0"/>
        <v>-1836500</v>
      </c>
      <c r="T48" s="505"/>
    </row>
    <row r="49" spans="1:20" s="267" customFormat="1" ht="13" customHeight="1">
      <c r="A49" s="442"/>
      <c r="B49" s="715"/>
      <c r="C49" s="715"/>
      <c r="D49" s="272"/>
      <c r="E49" s="272"/>
      <c r="F49" s="272"/>
      <c r="G49" s="272"/>
      <c r="H49" s="272"/>
      <c r="I49" s="272"/>
      <c r="J49" s="272"/>
      <c r="K49" s="272"/>
      <c r="L49" s="272"/>
      <c r="M49" s="656"/>
      <c r="N49" s="443"/>
      <c r="O49" s="444"/>
      <c r="P49" s="370"/>
      <c r="Q49" s="370"/>
      <c r="R49" s="370"/>
      <c r="S49" s="398">
        <f t="shared" si="0"/>
        <v>0</v>
      </c>
      <c r="T49" s="500"/>
    </row>
    <row r="50" spans="1:20" s="267" customFormat="1" ht="13">
      <c r="A50" s="419" t="s">
        <v>46</v>
      </c>
      <c r="B50" s="712"/>
      <c r="C50" s="731"/>
      <c r="D50" s="270"/>
      <c r="E50" s="270"/>
      <c r="F50" s="270"/>
      <c r="G50" s="270"/>
      <c r="H50" s="270"/>
      <c r="I50" s="270"/>
      <c r="J50" s="270"/>
      <c r="K50" s="270"/>
      <c r="L50" s="270"/>
      <c r="M50" s="653"/>
      <c r="N50" s="468"/>
      <c r="O50" s="397"/>
      <c r="P50" s="133"/>
      <c r="Q50" s="133"/>
      <c r="R50" s="133"/>
      <c r="S50" s="398">
        <f t="shared" si="0"/>
        <v>0</v>
      </c>
      <c r="T50" s="500"/>
    </row>
    <row r="51" spans="1:20" s="267" customFormat="1" ht="13">
      <c r="A51" s="419" t="s">
        <v>144</v>
      </c>
      <c r="B51" s="713"/>
      <c r="C51" s="732"/>
      <c r="D51" s="271"/>
      <c r="E51" s="271"/>
      <c r="F51" s="271"/>
      <c r="G51" s="271"/>
      <c r="H51" s="271"/>
      <c r="I51" s="271"/>
      <c r="J51" s="271"/>
      <c r="K51" s="271"/>
      <c r="L51" s="271"/>
      <c r="M51" s="654"/>
      <c r="N51" s="468"/>
      <c r="O51" s="397"/>
      <c r="P51" s="133"/>
      <c r="Q51" s="133"/>
      <c r="R51" s="133"/>
      <c r="S51" s="398">
        <f t="shared" si="0"/>
        <v>0</v>
      </c>
      <c r="T51" s="500"/>
    </row>
    <row r="52" spans="1:20" s="267" customFormat="1" ht="13">
      <c r="A52" s="420" t="s">
        <v>48</v>
      </c>
      <c r="B52" s="713">
        <v>252.97</v>
      </c>
      <c r="C52" s="713">
        <v>257.17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654">
        <v>400</v>
      </c>
      <c r="N52" s="468">
        <f t="shared" ref="N52:N60" si="11">SUM(B52:M52)</f>
        <v>4510.1399999999994</v>
      </c>
      <c r="O52" s="397">
        <v>4800</v>
      </c>
      <c r="P52" s="271">
        <v>3875.12</v>
      </c>
      <c r="Q52" s="274">
        <f>N52-P52</f>
        <v>635.01999999999953</v>
      </c>
      <c r="R52" s="397">
        <v>4800</v>
      </c>
      <c r="S52" s="398">
        <f t="shared" si="0"/>
        <v>0</v>
      </c>
      <c r="T52" s="500"/>
    </row>
    <row r="53" spans="1:20" s="527" customFormat="1" ht="26">
      <c r="A53" s="519" t="s">
        <v>145</v>
      </c>
      <c r="B53" s="717">
        <v>7843.25</v>
      </c>
      <c r="C53" s="717">
        <v>1295.56</v>
      </c>
      <c r="D53" s="520">
        <v>1000</v>
      </c>
      <c r="E53" s="520">
        <v>1000</v>
      </c>
      <c r="F53" s="520">
        <v>1000</v>
      </c>
      <c r="G53" s="520">
        <v>1000</v>
      </c>
      <c r="H53" s="520">
        <v>1000</v>
      </c>
      <c r="I53" s="520">
        <v>1000</v>
      </c>
      <c r="J53" s="520">
        <v>1000</v>
      </c>
      <c r="K53" s="520">
        <v>1000</v>
      </c>
      <c r="L53" s="520">
        <v>1000</v>
      </c>
      <c r="M53" s="658">
        <v>1000</v>
      </c>
      <c r="N53" s="642">
        <f t="shared" si="11"/>
        <v>19138.809999999998</v>
      </c>
      <c r="O53" s="523">
        <v>19000</v>
      </c>
      <c r="P53" s="521">
        <v>20722.400000000001</v>
      </c>
      <c r="Q53" s="524">
        <f t="shared" ref="Q53:Q60" si="12">N53-P53</f>
        <v>-1583.5900000000038</v>
      </c>
      <c r="R53" s="523">
        <v>38000</v>
      </c>
      <c r="S53" s="525">
        <f t="shared" si="0"/>
        <v>-19000</v>
      </c>
      <c r="T53" s="526" t="s">
        <v>245</v>
      </c>
    </row>
    <row r="54" spans="1:20" s="527" customFormat="1" ht="26">
      <c r="A54" s="519" t="s">
        <v>146</v>
      </c>
      <c r="B54" s="717">
        <v>1650.25</v>
      </c>
      <c r="C54" s="717">
        <v>1466.25</v>
      </c>
      <c r="D54" s="520">
        <v>2000</v>
      </c>
      <c r="E54" s="520">
        <v>2000</v>
      </c>
      <c r="F54" s="520">
        <v>2000</v>
      </c>
      <c r="G54" s="520">
        <v>2000</v>
      </c>
      <c r="H54" s="520">
        <v>2000</v>
      </c>
      <c r="I54" s="520">
        <v>2000</v>
      </c>
      <c r="J54" s="520">
        <v>2000</v>
      </c>
      <c r="K54" s="520">
        <v>2000</v>
      </c>
      <c r="L54" s="520">
        <v>2000</v>
      </c>
      <c r="M54" s="658">
        <v>2000</v>
      </c>
      <c r="N54" s="642">
        <f t="shared" si="11"/>
        <v>23116.5</v>
      </c>
      <c r="O54" s="523">
        <v>24000</v>
      </c>
      <c r="P54" s="521">
        <v>24074</v>
      </c>
      <c r="Q54" s="524">
        <f t="shared" si="12"/>
        <v>-957.5</v>
      </c>
      <c r="R54" s="523">
        <v>60000</v>
      </c>
      <c r="S54" s="525">
        <f t="shared" si="0"/>
        <v>-36000</v>
      </c>
      <c r="T54" s="526" t="s">
        <v>246</v>
      </c>
    </row>
    <row r="55" spans="1:20" s="267" customFormat="1" ht="13">
      <c r="A55" s="420" t="s">
        <v>147</v>
      </c>
      <c r="B55" s="713">
        <v>60.33</v>
      </c>
      <c r="C55" s="713">
        <v>60.33</v>
      </c>
      <c r="D55" s="278">
        <v>160</v>
      </c>
      <c r="E55" s="278">
        <v>160</v>
      </c>
      <c r="F55" s="278">
        <v>160</v>
      </c>
      <c r="G55" s="278">
        <v>160</v>
      </c>
      <c r="H55" s="278">
        <v>160</v>
      </c>
      <c r="I55" s="278">
        <v>160</v>
      </c>
      <c r="J55" s="278">
        <v>160</v>
      </c>
      <c r="K55" s="278">
        <v>160</v>
      </c>
      <c r="L55" s="278">
        <v>160</v>
      </c>
      <c r="M55" s="654">
        <v>160</v>
      </c>
      <c r="N55" s="468">
        <f t="shared" si="11"/>
        <v>1720.6599999999999</v>
      </c>
      <c r="O55" s="397">
        <v>3600</v>
      </c>
      <c r="P55" s="271">
        <v>4249.01</v>
      </c>
      <c r="Q55" s="274">
        <f t="shared" si="12"/>
        <v>-2528.3500000000004</v>
      </c>
      <c r="R55" s="397">
        <v>3600</v>
      </c>
      <c r="S55" s="398">
        <f t="shared" si="0"/>
        <v>0</v>
      </c>
      <c r="T55" s="500"/>
    </row>
    <row r="56" spans="1:20" s="267" customFormat="1" ht="13">
      <c r="A56" s="420" t="s">
        <v>148</v>
      </c>
      <c r="B56" s="713">
        <v>0</v>
      </c>
      <c r="C56" s="732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654">
        <v>0</v>
      </c>
      <c r="N56" s="468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397">
        <v>3000</v>
      </c>
      <c r="S56" s="398">
        <f t="shared" si="0"/>
        <v>0</v>
      </c>
      <c r="T56" s="500"/>
    </row>
    <row r="57" spans="1:20" s="267" customFormat="1" ht="13">
      <c r="A57" s="420" t="s">
        <v>149</v>
      </c>
      <c r="B57" s="713">
        <v>0</v>
      </c>
      <c r="C57" s="713">
        <v>0</v>
      </c>
      <c r="D57" s="278">
        <v>500</v>
      </c>
      <c r="E57" s="278">
        <v>0</v>
      </c>
      <c r="F57" s="278">
        <v>0</v>
      </c>
      <c r="G57" s="278">
        <v>500</v>
      </c>
      <c r="H57" s="278">
        <v>0</v>
      </c>
      <c r="I57" s="278">
        <v>0</v>
      </c>
      <c r="J57" s="278">
        <v>500</v>
      </c>
      <c r="K57" s="278">
        <v>0</v>
      </c>
      <c r="L57" s="278">
        <v>0</v>
      </c>
      <c r="M57" s="654">
        <v>500</v>
      </c>
      <c r="N57" s="468">
        <f>SUM(B57:M57)</f>
        <v>2000</v>
      </c>
      <c r="O57" s="397">
        <v>2000</v>
      </c>
      <c r="P57" s="271"/>
      <c r="Q57" s="274">
        <f t="shared" si="12"/>
        <v>2000</v>
      </c>
      <c r="R57" s="397">
        <v>6000</v>
      </c>
      <c r="S57" s="398">
        <f t="shared" si="0"/>
        <v>-4000</v>
      </c>
      <c r="T57" s="500"/>
    </row>
    <row r="58" spans="1:20" s="267" customFormat="1" ht="13">
      <c r="A58" s="420" t="s">
        <v>150</v>
      </c>
      <c r="B58" s="713">
        <v>1693.76</v>
      </c>
      <c r="C58" s="713">
        <v>3527.75</v>
      </c>
      <c r="D58" s="679">
        <v>722.5</v>
      </c>
      <c r="E58" s="679">
        <v>0</v>
      </c>
      <c r="F58" s="271">
        <v>0</v>
      </c>
      <c r="G58" s="748">
        <v>0</v>
      </c>
      <c r="H58" s="748">
        <v>0</v>
      </c>
      <c r="I58" s="748">
        <v>0</v>
      </c>
      <c r="J58" s="748">
        <v>0</v>
      </c>
      <c r="K58" s="748">
        <v>0</v>
      </c>
      <c r="L58" s="271">
        <v>1000</v>
      </c>
      <c r="M58" s="654">
        <v>2000</v>
      </c>
      <c r="N58" s="468">
        <f t="shared" si="11"/>
        <v>8944.01</v>
      </c>
      <c r="O58" s="397">
        <v>100000</v>
      </c>
      <c r="P58" s="271">
        <v>35418.75</v>
      </c>
      <c r="Q58" s="274">
        <f t="shared" si="12"/>
        <v>-26474.739999999998</v>
      </c>
      <c r="R58" s="397">
        <v>123000</v>
      </c>
      <c r="S58" s="398">
        <f t="shared" si="0"/>
        <v>-23000</v>
      </c>
      <c r="T58" s="500"/>
    </row>
    <row r="59" spans="1:20" s="267" customFormat="1" ht="13">
      <c r="A59" s="420" t="s">
        <v>151</v>
      </c>
      <c r="B59" s="713">
        <v>0</v>
      </c>
      <c r="C59" s="732">
        <v>398.92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654">
        <v>0</v>
      </c>
      <c r="N59" s="468">
        <f t="shared" si="11"/>
        <v>3398.92</v>
      </c>
      <c r="O59" s="397">
        <v>3000</v>
      </c>
      <c r="P59" s="271">
        <v>2665.37</v>
      </c>
      <c r="Q59" s="274">
        <f t="shared" si="12"/>
        <v>733.55000000000018</v>
      </c>
      <c r="R59" s="397">
        <v>3000</v>
      </c>
      <c r="S59" s="398">
        <f t="shared" si="0"/>
        <v>0</v>
      </c>
      <c r="T59" s="500"/>
    </row>
    <row r="60" spans="1:20" s="267" customFormat="1" ht="13">
      <c r="A60" s="423" t="s">
        <v>152</v>
      </c>
      <c r="B60" s="721">
        <f t="shared" ref="B60:M60" si="13">SUM(B52:B59)</f>
        <v>11500.560000000001</v>
      </c>
      <c r="C60" s="724">
        <f t="shared" si="13"/>
        <v>7005.98</v>
      </c>
      <c r="D60" s="469">
        <f t="shared" si="13"/>
        <v>4782.5</v>
      </c>
      <c r="E60" s="469">
        <f t="shared" si="13"/>
        <v>3560</v>
      </c>
      <c r="F60" s="469">
        <f t="shared" si="13"/>
        <v>3560</v>
      </c>
      <c r="G60" s="469">
        <f t="shared" si="13"/>
        <v>4060</v>
      </c>
      <c r="H60" s="469">
        <f t="shared" si="13"/>
        <v>3560</v>
      </c>
      <c r="I60" s="469">
        <f t="shared" si="13"/>
        <v>6560</v>
      </c>
      <c r="J60" s="469">
        <f t="shared" si="13"/>
        <v>4060</v>
      </c>
      <c r="K60" s="469">
        <f t="shared" si="13"/>
        <v>6560</v>
      </c>
      <c r="L60" s="469">
        <f t="shared" si="13"/>
        <v>4560</v>
      </c>
      <c r="M60" s="660">
        <f t="shared" si="13"/>
        <v>6060</v>
      </c>
      <c r="N60" s="467">
        <f t="shared" si="11"/>
        <v>65829.040000000008</v>
      </c>
      <c r="O60" s="406">
        <f>SUM(O52:O59)</f>
        <v>159400</v>
      </c>
      <c r="P60" s="469">
        <v>91929.239999999991</v>
      </c>
      <c r="Q60" s="469">
        <f t="shared" si="12"/>
        <v>-26100.199999999983</v>
      </c>
      <c r="R60" s="401">
        <f>SUM(R52:R59)</f>
        <v>241400</v>
      </c>
      <c r="S60" s="398">
        <f t="shared" si="0"/>
        <v>-82000</v>
      </c>
      <c r="T60" s="500"/>
    </row>
    <row r="61" spans="1:20" s="267" customFormat="1" ht="6" customHeight="1">
      <c r="A61" s="419"/>
      <c r="B61" s="715"/>
      <c r="C61" s="715"/>
      <c r="D61" s="272"/>
      <c r="E61" s="272"/>
      <c r="F61" s="272"/>
      <c r="G61" s="272"/>
      <c r="H61" s="272"/>
      <c r="I61" s="272"/>
      <c r="J61" s="272"/>
      <c r="K61" s="272"/>
      <c r="L61" s="272"/>
      <c r="M61" s="656"/>
      <c r="N61" s="468"/>
      <c r="O61" s="397"/>
      <c r="P61" s="133"/>
      <c r="Q61" s="133"/>
      <c r="R61" s="133"/>
      <c r="S61" s="398">
        <f t="shared" si="0"/>
        <v>0</v>
      </c>
      <c r="T61" s="500"/>
    </row>
    <row r="62" spans="1:20" s="267" customFormat="1" ht="13">
      <c r="A62" s="419" t="s">
        <v>153</v>
      </c>
      <c r="B62" s="722"/>
      <c r="C62" s="733"/>
      <c r="D62" s="273"/>
      <c r="E62" s="273"/>
      <c r="F62" s="273"/>
      <c r="G62" s="273"/>
      <c r="H62" s="273"/>
      <c r="I62" s="273"/>
      <c r="J62" s="273"/>
      <c r="K62" s="273"/>
      <c r="L62" s="273"/>
      <c r="M62" s="657"/>
      <c r="N62" s="468"/>
      <c r="O62" s="397"/>
      <c r="P62" s="133"/>
      <c r="Q62" s="133"/>
      <c r="R62" s="133"/>
      <c r="S62" s="398">
        <f t="shared" si="0"/>
        <v>0</v>
      </c>
      <c r="T62" s="500"/>
    </row>
    <row r="63" spans="1:20" s="267" customFormat="1" ht="13">
      <c r="A63" s="420" t="s">
        <v>154</v>
      </c>
      <c r="B63" s="713">
        <v>4710.08</v>
      </c>
      <c r="C63" s="713">
        <f>15982.07+5250</f>
        <v>21232.07</v>
      </c>
      <c r="D63" s="278">
        <v>3347.5</v>
      </c>
      <c r="E63" s="278"/>
      <c r="F63" s="278"/>
      <c r="G63" s="278"/>
      <c r="H63" s="278"/>
      <c r="I63" s="278"/>
      <c r="J63" s="278"/>
      <c r="K63" s="278"/>
      <c r="L63" s="278"/>
      <c r="M63" s="654"/>
      <c r="N63" s="467"/>
      <c r="O63" s="406">
        <v>85000</v>
      </c>
      <c r="P63" s="271">
        <v>49969.65</v>
      </c>
      <c r="Q63" s="274">
        <f>N63-P63</f>
        <v>-49969.65</v>
      </c>
      <c r="R63" s="274"/>
      <c r="S63" s="398">
        <f t="shared" si="0"/>
        <v>85000</v>
      </c>
      <c r="T63" s="500"/>
    </row>
    <row r="64" spans="1:20" s="267" customFormat="1" ht="13">
      <c r="A64" s="571" t="s">
        <v>155</v>
      </c>
      <c r="B64" s="713">
        <v>0</v>
      </c>
      <c r="C64" s="713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0</v>
      </c>
      <c r="I64" s="278">
        <v>0</v>
      </c>
      <c r="J64" s="278">
        <v>0</v>
      </c>
      <c r="K64" s="278">
        <v>0</v>
      </c>
      <c r="L64" s="278">
        <v>0</v>
      </c>
      <c r="M64" s="654">
        <v>0</v>
      </c>
      <c r="N64" s="467">
        <f>SUM(B64:M64)</f>
        <v>0</v>
      </c>
      <c r="O64" s="397">
        <v>0</v>
      </c>
      <c r="P64" s="271"/>
      <c r="Q64" s="274"/>
      <c r="R64" s="669">
        <v>24000</v>
      </c>
      <c r="S64" s="398">
        <f t="shared" si="0"/>
        <v>-24000</v>
      </c>
      <c r="T64" s="500"/>
    </row>
    <row r="65" spans="1:23" s="267" customFormat="1" ht="13">
      <c r="A65" s="571" t="s">
        <v>156</v>
      </c>
      <c r="B65" s="713"/>
      <c r="C65" s="713"/>
      <c r="D65" s="278"/>
      <c r="E65" s="278"/>
      <c r="F65" s="278"/>
      <c r="G65" s="278"/>
      <c r="H65" s="278"/>
      <c r="I65" s="278"/>
      <c r="J65" s="278"/>
      <c r="K65" s="278"/>
      <c r="L65" s="278"/>
      <c r="M65" s="654">
        <v>0</v>
      </c>
      <c r="N65" s="468">
        <f t="shared" ref="N65:N75" si="14">SUM(B65:M65)</f>
        <v>0</v>
      </c>
      <c r="O65" s="397">
        <v>0</v>
      </c>
      <c r="P65" s="271"/>
      <c r="Q65" s="133"/>
      <c r="R65" s="669">
        <v>13200</v>
      </c>
      <c r="S65" s="398">
        <f t="shared" si="0"/>
        <v>-13200</v>
      </c>
      <c r="T65" s="500"/>
    </row>
    <row r="66" spans="1:23" s="527" customFormat="1" ht="26">
      <c r="A66" s="491" t="s">
        <v>247</v>
      </c>
      <c r="B66" s="717"/>
      <c r="C66" s="717">
        <v>0</v>
      </c>
      <c r="D66" s="520">
        <v>0</v>
      </c>
      <c r="E66" s="520">
        <v>0</v>
      </c>
      <c r="F66" s="520">
        <v>1500</v>
      </c>
      <c r="G66" s="520">
        <v>0</v>
      </c>
      <c r="H66" s="520">
        <v>1500</v>
      </c>
      <c r="I66" s="520">
        <v>0</v>
      </c>
      <c r="J66" s="520">
        <v>1500</v>
      </c>
      <c r="K66" s="520">
        <v>0</v>
      </c>
      <c r="L66" s="520">
        <v>1500</v>
      </c>
      <c r="M66" s="658">
        <v>0</v>
      </c>
      <c r="N66" s="642">
        <f t="shared" si="14"/>
        <v>6000</v>
      </c>
      <c r="O66" s="523">
        <v>0</v>
      </c>
      <c r="P66" s="521"/>
      <c r="Q66" s="530"/>
      <c r="R66" s="671">
        <v>36000</v>
      </c>
      <c r="S66" s="525">
        <f t="shared" si="0"/>
        <v>-36000</v>
      </c>
      <c r="T66" s="526" t="s">
        <v>248</v>
      </c>
    </row>
    <row r="67" spans="1:23" s="527" customFormat="1" ht="13">
      <c r="A67" s="491" t="s">
        <v>249</v>
      </c>
      <c r="B67" s="717"/>
      <c r="C67" s="717">
        <v>0</v>
      </c>
      <c r="D67" s="520">
        <v>500</v>
      </c>
      <c r="E67" s="520">
        <v>500</v>
      </c>
      <c r="F67" s="520">
        <v>500</v>
      </c>
      <c r="G67" s="520">
        <v>500</v>
      </c>
      <c r="H67" s="520">
        <v>500</v>
      </c>
      <c r="I67" s="520">
        <v>500</v>
      </c>
      <c r="J67" s="520">
        <v>500</v>
      </c>
      <c r="K67" s="520">
        <v>500</v>
      </c>
      <c r="L67" s="520">
        <v>500</v>
      </c>
      <c r="M67" s="658">
        <v>500</v>
      </c>
      <c r="N67" s="642">
        <f t="shared" si="14"/>
        <v>5000</v>
      </c>
      <c r="O67" s="523">
        <v>0</v>
      </c>
      <c r="P67" s="521"/>
      <c r="Q67" s="530"/>
      <c r="R67" s="671"/>
      <c r="S67" s="525"/>
      <c r="T67" s="526"/>
    </row>
    <row r="68" spans="1:23" s="527" customFormat="1" ht="26">
      <c r="A68" s="519" t="s">
        <v>250</v>
      </c>
      <c r="B68" s="717"/>
      <c r="C68" s="717">
        <v>0</v>
      </c>
      <c r="D68" s="520">
        <v>500</v>
      </c>
      <c r="E68" s="520">
        <v>500</v>
      </c>
      <c r="F68" s="520">
        <v>500</v>
      </c>
      <c r="G68" s="520">
        <v>500</v>
      </c>
      <c r="H68" s="520">
        <v>500</v>
      </c>
      <c r="I68" s="520">
        <v>500</v>
      </c>
      <c r="J68" s="520">
        <v>500</v>
      </c>
      <c r="K68" s="520">
        <v>500</v>
      </c>
      <c r="L68" s="520">
        <v>500</v>
      </c>
      <c r="M68" s="658">
        <v>500</v>
      </c>
      <c r="N68" s="642">
        <f t="shared" si="14"/>
        <v>5000</v>
      </c>
      <c r="O68" s="523">
        <v>0</v>
      </c>
      <c r="P68" s="521"/>
      <c r="Q68" s="530"/>
      <c r="R68" s="671">
        <v>12000</v>
      </c>
      <c r="S68" s="525">
        <f t="shared" si="0"/>
        <v>-12000</v>
      </c>
      <c r="T68" s="526" t="s">
        <v>251</v>
      </c>
    </row>
    <row r="69" spans="1:23" s="527" customFormat="1" ht="22.5" customHeight="1">
      <c r="A69" s="519" t="s">
        <v>252</v>
      </c>
      <c r="B69" s="717">
        <v>0</v>
      </c>
      <c r="C69" s="734">
        <v>0</v>
      </c>
      <c r="D69" s="672">
        <v>0</v>
      </c>
      <c r="E69" s="672">
        <v>0</v>
      </c>
      <c r="F69" s="672">
        <v>0</v>
      </c>
      <c r="G69" s="672">
        <v>0</v>
      </c>
      <c r="H69" s="672">
        <v>0</v>
      </c>
      <c r="I69" s="672">
        <v>0</v>
      </c>
      <c r="J69" s="672">
        <v>0</v>
      </c>
      <c r="K69" s="520">
        <v>11000</v>
      </c>
      <c r="L69" s="520">
        <v>0</v>
      </c>
      <c r="M69" s="658">
        <v>0</v>
      </c>
      <c r="N69" s="642">
        <f>SUM(B69:M69)</f>
        <v>11000</v>
      </c>
      <c r="O69" s="523">
        <v>0</v>
      </c>
      <c r="P69" s="521"/>
      <c r="Q69" s="530"/>
      <c r="R69" s="671">
        <v>16300</v>
      </c>
      <c r="S69" s="525">
        <f t="shared" si="0"/>
        <v>-16300</v>
      </c>
      <c r="T69" s="526"/>
    </row>
    <row r="70" spans="1:23" s="527" customFormat="1" ht="26">
      <c r="A70" s="519" t="s">
        <v>253</v>
      </c>
      <c r="B70" s="717">
        <v>0</v>
      </c>
      <c r="C70" s="717">
        <v>0</v>
      </c>
      <c r="D70" s="520">
        <v>6000</v>
      </c>
      <c r="E70" s="520">
        <v>7245</v>
      </c>
      <c r="F70" s="520">
        <v>0</v>
      </c>
      <c r="G70" s="520">
        <v>0</v>
      </c>
      <c r="H70" s="520">
        <v>1000</v>
      </c>
      <c r="I70" s="520">
        <v>1000</v>
      </c>
      <c r="J70" s="520">
        <v>1000</v>
      </c>
      <c r="K70" s="520">
        <v>1000</v>
      </c>
      <c r="L70" s="520">
        <v>1000</v>
      </c>
      <c r="M70" s="658">
        <v>1000</v>
      </c>
      <c r="N70" s="642">
        <f t="shared" si="14"/>
        <v>19245</v>
      </c>
      <c r="O70" s="523">
        <v>0</v>
      </c>
      <c r="P70" s="521"/>
      <c r="Q70" s="543"/>
      <c r="R70" s="671">
        <v>12000</v>
      </c>
      <c r="S70" s="525">
        <f t="shared" ref="S70:S133" si="15">O70-R70</f>
        <v>-12000</v>
      </c>
      <c r="T70" s="526" t="s">
        <v>251</v>
      </c>
    </row>
    <row r="71" spans="1:23" s="527" customFormat="1" ht="65">
      <c r="A71" s="519" t="s">
        <v>165</v>
      </c>
      <c r="B71" s="717"/>
      <c r="C71" s="717">
        <v>1286.25</v>
      </c>
      <c r="D71" s="520">
        <v>797.5</v>
      </c>
      <c r="E71" s="520">
        <v>500</v>
      </c>
      <c r="F71" s="520">
        <v>500</v>
      </c>
      <c r="G71" s="520">
        <v>500</v>
      </c>
      <c r="H71" s="520">
        <v>500</v>
      </c>
      <c r="I71" s="520">
        <v>500</v>
      </c>
      <c r="J71" s="520">
        <v>500</v>
      </c>
      <c r="K71" s="520">
        <v>500</v>
      </c>
      <c r="L71" s="520">
        <v>500</v>
      </c>
      <c r="M71" s="658">
        <v>500</v>
      </c>
      <c r="N71" s="642">
        <f t="shared" si="14"/>
        <v>6583.75</v>
      </c>
      <c r="O71" s="523">
        <v>7000</v>
      </c>
      <c r="P71" s="521">
        <v>40075.839999999997</v>
      </c>
      <c r="Q71" s="524">
        <f>N71-P71</f>
        <v>-33492.089999999997</v>
      </c>
      <c r="R71" s="671">
        <v>21000</v>
      </c>
      <c r="S71" s="525">
        <f t="shared" si="15"/>
        <v>-14000</v>
      </c>
      <c r="T71" s="526" t="s">
        <v>254</v>
      </c>
    </row>
    <row r="72" spans="1:23" s="267" customFormat="1" ht="12" customHeight="1">
      <c r="A72" s="420" t="s">
        <v>297</v>
      </c>
      <c r="B72" s="713">
        <v>0</v>
      </c>
      <c r="C72" s="713">
        <v>0</v>
      </c>
      <c r="D72" s="278">
        <v>250</v>
      </c>
      <c r="E72" s="278">
        <v>0</v>
      </c>
      <c r="F72" s="278">
        <v>0</v>
      </c>
      <c r="G72" s="278">
        <v>250</v>
      </c>
      <c r="H72" s="278">
        <v>0</v>
      </c>
      <c r="I72" s="278">
        <v>0</v>
      </c>
      <c r="J72" s="278">
        <v>250</v>
      </c>
      <c r="K72" s="278">
        <v>0</v>
      </c>
      <c r="L72" s="278">
        <v>0</v>
      </c>
      <c r="M72" s="654">
        <v>250</v>
      </c>
      <c r="N72" s="468">
        <f t="shared" si="14"/>
        <v>1000</v>
      </c>
      <c r="O72" s="397">
        <v>1000</v>
      </c>
      <c r="P72" s="271">
        <v>6621.17</v>
      </c>
      <c r="Q72" s="274">
        <f t="shared" ref="Q72:Q76" si="16">N72-P72</f>
        <v>-5621.17</v>
      </c>
      <c r="R72" s="669">
        <v>3000</v>
      </c>
      <c r="S72" s="398">
        <f t="shared" si="15"/>
        <v>-2000</v>
      </c>
      <c r="T72" s="500"/>
    </row>
    <row r="73" spans="1:23" s="267" customFormat="1" ht="13">
      <c r="A73" s="420" t="s">
        <v>168</v>
      </c>
      <c r="B73" s="713">
        <v>0</v>
      </c>
      <c r="C73" s="713">
        <v>61.64</v>
      </c>
      <c r="D73" s="278">
        <v>0</v>
      </c>
      <c r="E73" s="278">
        <v>0</v>
      </c>
      <c r="F73" s="278">
        <v>2000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2000</v>
      </c>
      <c r="M73" s="654">
        <v>0</v>
      </c>
      <c r="N73" s="468">
        <f t="shared" si="14"/>
        <v>4061.64</v>
      </c>
      <c r="O73" s="397">
        <v>4000</v>
      </c>
      <c r="P73" s="271">
        <v>2425.1099999999997</v>
      </c>
      <c r="Q73" s="274">
        <f t="shared" si="16"/>
        <v>1636.5300000000002</v>
      </c>
      <c r="R73" s="669">
        <v>10000</v>
      </c>
      <c r="S73" s="398">
        <f t="shared" si="15"/>
        <v>-6000</v>
      </c>
      <c r="T73" s="500"/>
    </row>
    <row r="74" spans="1:23" s="267" customFormat="1" ht="26">
      <c r="A74" s="420" t="s">
        <v>54</v>
      </c>
      <c r="B74" s="713">
        <v>8.4</v>
      </c>
      <c r="C74" s="713">
        <v>0</v>
      </c>
      <c r="D74" s="278">
        <v>1000</v>
      </c>
      <c r="E74" s="278">
        <v>1000</v>
      </c>
      <c r="F74" s="278">
        <v>1000</v>
      </c>
      <c r="G74" s="278">
        <v>1000</v>
      </c>
      <c r="H74" s="278">
        <v>1000</v>
      </c>
      <c r="I74" s="278">
        <v>1000</v>
      </c>
      <c r="J74" s="278">
        <v>1000</v>
      </c>
      <c r="K74" s="278">
        <v>1000</v>
      </c>
      <c r="L74" s="278">
        <v>1000</v>
      </c>
      <c r="M74" s="654">
        <v>1000</v>
      </c>
      <c r="N74" s="468">
        <f t="shared" si="14"/>
        <v>10008.4</v>
      </c>
      <c r="O74" s="397">
        <v>18000</v>
      </c>
      <c r="P74" s="271">
        <v>23942.32</v>
      </c>
      <c r="Q74" s="274">
        <f t="shared" si="16"/>
        <v>-13933.92</v>
      </c>
      <c r="R74" s="669">
        <v>48000</v>
      </c>
      <c r="S74" s="398">
        <f t="shared" si="15"/>
        <v>-30000</v>
      </c>
      <c r="T74" s="500" t="s">
        <v>255</v>
      </c>
    </row>
    <row r="75" spans="1:23" s="267" customFormat="1" ht="13">
      <c r="A75" s="420" t="s">
        <v>56</v>
      </c>
      <c r="B75" s="713">
        <v>-2589.8000000000002</v>
      </c>
      <c r="C75" s="713">
        <f>63.92+357.77</f>
        <v>421.69</v>
      </c>
      <c r="D75" s="278">
        <v>400</v>
      </c>
      <c r="E75" s="278">
        <v>400</v>
      </c>
      <c r="F75" s="278">
        <v>400</v>
      </c>
      <c r="G75" s="278">
        <v>400</v>
      </c>
      <c r="H75" s="278">
        <v>400</v>
      </c>
      <c r="I75" s="278">
        <v>400</v>
      </c>
      <c r="J75" s="278">
        <v>3000</v>
      </c>
      <c r="K75" s="278">
        <v>400</v>
      </c>
      <c r="L75" s="278">
        <v>400</v>
      </c>
      <c r="M75" s="654">
        <v>400</v>
      </c>
      <c r="N75" s="468">
        <f t="shared" si="14"/>
        <v>4431.8899999999994</v>
      </c>
      <c r="O75" s="397">
        <v>5000</v>
      </c>
      <c r="P75" s="271">
        <v>13154.77</v>
      </c>
      <c r="Q75" s="274">
        <f t="shared" si="16"/>
        <v>-8722.880000000001</v>
      </c>
      <c r="R75" s="669">
        <v>14200</v>
      </c>
      <c r="S75" s="398">
        <f t="shared" si="15"/>
        <v>-9200</v>
      </c>
      <c r="T75" s="500"/>
    </row>
    <row r="76" spans="1:23" s="267" customFormat="1" ht="13">
      <c r="A76" s="423" t="s">
        <v>169</v>
      </c>
      <c r="B76" s="721">
        <f t="shared" ref="B76:M76" si="17">SUM(B63:B75)</f>
        <v>2128.6799999999994</v>
      </c>
      <c r="C76" s="724">
        <f t="shared" si="17"/>
        <v>23001.649999999998</v>
      </c>
      <c r="D76" s="469">
        <f t="shared" si="17"/>
        <v>12795</v>
      </c>
      <c r="E76" s="469">
        <f t="shared" si="17"/>
        <v>10145</v>
      </c>
      <c r="F76" s="469">
        <f t="shared" si="17"/>
        <v>6400</v>
      </c>
      <c r="G76" s="469">
        <f t="shared" si="17"/>
        <v>3150</v>
      </c>
      <c r="H76" s="469">
        <f t="shared" si="17"/>
        <v>5400</v>
      </c>
      <c r="I76" s="469">
        <f t="shared" si="17"/>
        <v>3900</v>
      </c>
      <c r="J76" s="469">
        <f t="shared" si="17"/>
        <v>8250</v>
      </c>
      <c r="K76" s="469">
        <f t="shared" si="17"/>
        <v>14900</v>
      </c>
      <c r="L76" s="469">
        <f t="shared" si="17"/>
        <v>7400</v>
      </c>
      <c r="M76" s="660">
        <f t="shared" si="17"/>
        <v>4150</v>
      </c>
      <c r="N76" s="644">
        <f>SUM(B76:M76)</f>
        <v>101620.33</v>
      </c>
      <c r="O76" s="406">
        <f>SUM(O63:O75)</f>
        <v>120000</v>
      </c>
      <c r="P76" s="469">
        <v>137632.61999999997</v>
      </c>
      <c r="Q76" s="469">
        <f t="shared" si="16"/>
        <v>-36012.289999999964</v>
      </c>
      <c r="R76" s="670">
        <v>209700</v>
      </c>
      <c r="S76" s="398">
        <f t="shared" si="15"/>
        <v>-89700</v>
      </c>
      <c r="T76" s="503"/>
      <c r="U76" s="369"/>
      <c r="V76" s="369"/>
      <c r="W76" s="369"/>
    </row>
    <row r="77" spans="1:23" s="267" customFormat="1" ht="10" customHeight="1">
      <c r="A77" s="419"/>
      <c r="B77" s="715"/>
      <c r="C77" s="715"/>
      <c r="D77" s="272"/>
      <c r="E77" s="272"/>
      <c r="F77" s="272"/>
      <c r="G77" s="272"/>
      <c r="H77" s="272"/>
      <c r="I77" s="272"/>
      <c r="J77" s="272"/>
      <c r="K77" s="272"/>
      <c r="L77" s="272"/>
      <c r="M77" s="656"/>
      <c r="N77" s="468"/>
      <c r="O77" s="397"/>
      <c r="P77" s="370"/>
      <c r="Q77" s="370"/>
      <c r="R77" s="370"/>
      <c r="S77" s="398">
        <f t="shared" si="15"/>
        <v>0</v>
      </c>
      <c r="T77" s="503"/>
      <c r="U77" s="369"/>
      <c r="V77" s="369"/>
      <c r="W77" s="369"/>
    </row>
    <row r="78" spans="1:23" s="267" customFormat="1" ht="13">
      <c r="A78" s="419" t="s">
        <v>170</v>
      </c>
      <c r="B78" s="713"/>
      <c r="C78" s="732"/>
      <c r="D78" s="271"/>
      <c r="E78" s="271"/>
      <c r="F78" s="271"/>
      <c r="G78" s="271"/>
      <c r="H78" s="271"/>
      <c r="I78" s="271"/>
      <c r="J78" s="271"/>
      <c r="K78" s="271"/>
      <c r="L78" s="271"/>
      <c r="M78" s="654"/>
      <c r="N78" s="468"/>
      <c r="O78" s="397"/>
      <c r="P78" s="370"/>
      <c r="Q78" s="370"/>
      <c r="R78" s="370"/>
      <c r="S78" s="398">
        <f t="shared" si="15"/>
        <v>0</v>
      </c>
      <c r="T78" s="506"/>
      <c r="U78" s="268"/>
      <c r="V78" s="268"/>
      <c r="W78" s="369"/>
    </row>
    <row r="79" spans="1:23" s="267" customFormat="1" ht="13">
      <c r="A79" s="420" t="s">
        <v>67</v>
      </c>
      <c r="B79" s="713">
        <v>0</v>
      </c>
      <c r="C79" s="713">
        <v>0</v>
      </c>
      <c r="D79" s="278">
        <v>0</v>
      </c>
      <c r="E79" s="278">
        <v>0</v>
      </c>
      <c r="F79" s="278">
        <v>0</v>
      </c>
      <c r="G79" s="278">
        <v>0</v>
      </c>
      <c r="H79" s="278">
        <v>0</v>
      </c>
      <c r="I79" s="278">
        <v>0</v>
      </c>
      <c r="J79" s="278">
        <v>0</v>
      </c>
      <c r="K79" s="278">
        <v>0</v>
      </c>
      <c r="L79" s="278">
        <v>0</v>
      </c>
      <c r="M79" s="654">
        <v>0</v>
      </c>
      <c r="N79" s="468">
        <f t="shared" ref="N79:N86" si="18">SUM(B79:M79)</f>
        <v>0</v>
      </c>
      <c r="O79" s="397">
        <v>21500</v>
      </c>
      <c r="P79" s="271">
        <v>5000</v>
      </c>
      <c r="Q79" s="286">
        <f>N79-P79</f>
        <v>-5000</v>
      </c>
      <c r="R79" s="397">
        <v>21500</v>
      </c>
      <c r="S79" s="398">
        <f t="shared" si="15"/>
        <v>0</v>
      </c>
      <c r="T79" s="506"/>
      <c r="U79" s="268"/>
      <c r="V79" s="268"/>
      <c r="W79" s="369"/>
    </row>
    <row r="80" spans="1:23" s="267" customFormat="1" ht="13">
      <c r="A80" s="420" t="s">
        <v>68</v>
      </c>
      <c r="B80" s="713">
        <v>0</v>
      </c>
      <c r="C80" s="713">
        <v>0</v>
      </c>
      <c r="D80" s="278">
        <v>0</v>
      </c>
      <c r="E80" s="278">
        <v>0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0</v>
      </c>
      <c r="L80" s="278">
        <v>0</v>
      </c>
      <c r="M80" s="654">
        <v>0</v>
      </c>
      <c r="N80" s="468">
        <f t="shared" si="18"/>
        <v>0</v>
      </c>
      <c r="O80" s="397">
        <v>4500</v>
      </c>
      <c r="P80" s="271">
        <v>0</v>
      </c>
      <c r="Q80" s="286">
        <f t="shared" ref="Q80:Q85" si="19">N80-P80</f>
        <v>0</v>
      </c>
      <c r="R80" s="397">
        <v>4500</v>
      </c>
      <c r="S80" s="398">
        <f t="shared" si="15"/>
        <v>0</v>
      </c>
      <c r="T80" s="506"/>
      <c r="U80" s="268"/>
      <c r="V80" s="268"/>
      <c r="W80" s="369"/>
    </row>
    <row r="81" spans="1:23" s="267" customFormat="1" ht="13">
      <c r="A81" s="420" t="s">
        <v>69</v>
      </c>
      <c r="B81" s="713">
        <v>0</v>
      </c>
      <c r="C81" s="713">
        <v>0</v>
      </c>
      <c r="D81" s="278">
        <v>0</v>
      </c>
      <c r="E81" s="278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654">
        <v>0</v>
      </c>
      <c r="N81" s="468">
        <f t="shared" si="18"/>
        <v>0</v>
      </c>
      <c r="O81" s="397">
        <v>18000</v>
      </c>
      <c r="P81" s="271">
        <v>7500</v>
      </c>
      <c r="Q81" s="286">
        <f t="shared" si="19"/>
        <v>-7500</v>
      </c>
      <c r="R81" s="397">
        <v>18000</v>
      </c>
      <c r="S81" s="398">
        <f t="shared" si="15"/>
        <v>0</v>
      </c>
      <c r="T81" s="506"/>
      <c r="U81" s="268"/>
      <c r="V81" s="268"/>
      <c r="W81" s="369"/>
    </row>
    <row r="82" spans="1:23" s="267" customFormat="1" ht="13">
      <c r="A82" s="420" t="s">
        <v>70</v>
      </c>
      <c r="B82" s="713">
        <v>0</v>
      </c>
      <c r="C82" s="713">
        <v>0</v>
      </c>
      <c r="D82" s="278">
        <v>0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654">
        <v>0</v>
      </c>
      <c r="N82" s="468">
        <f t="shared" si="18"/>
        <v>0</v>
      </c>
      <c r="O82" s="397">
        <v>0</v>
      </c>
      <c r="P82" s="271">
        <v>0</v>
      </c>
      <c r="Q82" s="286">
        <f t="shared" si="19"/>
        <v>0</v>
      </c>
      <c r="R82" s="397">
        <v>0</v>
      </c>
      <c r="S82" s="398">
        <f t="shared" si="15"/>
        <v>0</v>
      </c>
      <c r="T82" s="506"/>
      <c r="U82" s="268"/>
      <c r="V82" s="268"/>
      <c r="W82" s="369"/>
    </row>
    <row r="83" spans="1:23" s="267" customFormat="1" ht="13">
      <c r="A83" s="420" t="s">
        <v>71</v>
      </c>
      <c r="B83" s="713">
        <v>0</v>
      </c>
      <c r="C83" s="713">
        <v>0</v>
      </c>
      <c r="D83" s="278">
        <v>0</v>
      </c>
      <c r="E83" s="278">
        <v>0</v>
      </c>
      <c r="F83" s="278">
        <v>0</v>
      </c>
      <c r="G83" s="278">
        <v>0</v>
      </c>
      <c r="H83" s="278">
        <v>0</v>
      </c>
      <c r="I83" s="278">
        <v>0</v>
      </c>
      <c r="J83" s="278">
        <v>0</v>
      </c>
      <c r="K83" s="278">
        <v>0</v>
      </c>
      <c r="L83" s="278">
        <v>0</v>
      </c>
      <c r="M83" s="654">
        <v>0</v>
      </c>
      <c r="N83" s="468">
        <f t="shared" si="18"/>
        <v>0</v>
      </c>
      <c r="O83" s="397">
        <v>12900</v>
      </c>
      <c r="P83" s="271">
        <v>0</v>
      </c>
      <c r="Q83" s="286">
        <f t="shared" si="19"/>
        <v>0</v>
      </c>
      <c r="R83" s="397">
        <v>12900</v>
      </c>
      <c r="S83" s="398">
        <f t="shared" si="15"/>
        <v>0</v>
      </c>
      <c r="T83" s="506"/>
      <c r="U83" s="268"/>
      <c r="V83" s="268"/>
      <c r="W83" s="369"/>
    </row>
    <row r="84" spans="1:23" s="267" customFormat="1" ht="13">
      <c r="A84" s="420" t="s">
        <v>72</v>
      </c>
      <c r="B84" s="713">
        <v>0</v>
      </c>
      <c r="C84" s="713">
        <v>0</v>
      </c>
      <c r="D84" s="278">
        <v>0</v>
      </c>
      <c r="E84" s="278">
        <v>0</v>
      </c>
      <c r="F84" s="278">
        <v>0</v>
      </c>
      <c r="G84" s="278">
        <v>0</v>
      </c>
      <c r="H84" s="278">
        <v>0</v>
      </c>
      <c r="I84" s="278">
        <v>0</v>
      </c>
      <c r="J84" s="278">
        <v>0</v>
      </c>
      <c r="K84" s="278">
        <v>0</v>
      </c>
      <c r="L84" s="278">
        <v>0</v>
      </c>
      <c r="M84" s="654">
        <v>0</v>
      </c>
      <c r="N84" s="468">
        <f t="shared" si="18"/>
        <v>0</v>
      </c>
      <c r="O84" s="397">
        <v>25200</v>
      </c>
      <c r="P84" s="271">
        <v>0</v>
      </c>
      <c r="Q84" s="286">
        <f t="shared" si="19"/>
        <v>0</v>
      </c>
      <c r="R84" s="397">
        <v>25200</v>
      </c>
      <c r="S84" s="398">
        <f t="shared" si="15"/>
        <v>0</v>
      </c>
      <c r="T84" s="506"/>
      <c r="U84" s="268"/>
      <c r="V84" s="268"/>
      <c r="W84" s="369"/>
    </row>
    <row r="85" spans="1:23" s="267" customFormat="1" ht="13">
      <c r="A85" s="420" t="s">
        <v>73</v>
      </c>
      <c r="B85" s="713">
        <v>0</v>
      </c>
      <c r="C85" s="713">
        <v>0</v>
      </c>
      <c r="D85" s="278">
        <v>0</v>
      </c>
      <c r="E85" s="278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654">
        <v>0</v>
      </c>
      <c r="N85" s="468">
        <f t="shared" si="18"/>
        <v>0</v>
      </c>
      <c r="O85" s="397">
        <v>27000</v>
      </c>
      <c r="P85" s="271">
        <v>15442</v>
      </c>
      <c r="Q85" s="286">
        <f t="shared" si="19"/>
        <v>-15442</v>
      </c>
      <c r="R85" s="397">
        <v>27000</v>
      </c>
      <c r="S85" s="398">
        <f t="shared" si="15"/>
        <v>0</v>
      </c>
      <c r="T85" s="503"/>
      <c r="U85" s="369"/>
      <c r="V85" s="369"/>
      <c r="W85" s="369"/>
    </row>
    <row r="86" spans="1:23" s="267" customFormat="1" ht="13">
      <c r="A86" s="419" t="s">
        <v>171</v>
      </c>
      <c r="B86" s="721">
        <f>SUM(B79:B85)</f>
        <v>0</v>
      </c>
      <c r="C86" s="724">
        <f t="shared" ref="C86:M86" si="20">SUM(C79:C85)</f>
        <v>0</v>
      </c>
      <c r="D86" s="469">
        <f t="shared" si="20"/>
        <v>0</v>
      </c>
      <c r="E86" s="469">
        <f t="shared" si="20"/>
        <v>0</v>
      </c>
      <c r="F86" s="469">
        <f t="shared" si="20"/>
        <v>0</v>
      </c>
      <c r="G86" s="469">
        <f t="shared" si="20"/>
        <v>0</v>
      </c>
      <c r="H86" s="469">
        <f t="shared" si="20"/>
        <v>0</v>
      </c>
      <c r="I86" s="469">
        <f t="shared" si="20"/>
        <v>0</v>
      </c>
      <c r="J86" s="469">
        <f t="shared" si="20"/>
        <v>0</v>
      </c>
      <c r="K86" s="469">
        <f t="shared" si="20"/>
        <v>0</v>
      </c>
      <c r="L86" s="469">
        <f t="shared" si="20"/>
        <v>0</v>
      </c>
      <c r="M86" s="660">
        <f t="shared" si="20"/>
        <v>0</v>
      </c>
      <c r="N86" s="749">
        <f t="shared" si="18"/>
        <v>0</v>
      </c>
      <c r="O86" s="399">
        <f>0+SUM(O79:O85)</f>
        <v>109100</v>
      </c>
      <c r="P86" s="469">
        <v>27942</v>
      </c>
      <c r="Q86" s="469">
        <f>N86-P86</f>
        <v>-27942</v>
      </c>
      <c r="R86" s="573">
        <f>0+SUM(R79:R85)</f>
        <v>109100</v>
      </c>
      <c r="S86" s="398">
        <f t="shared" si="15"/>
        <v>0</v>
      </c>
      <c r="T86" s="503"/>
      <c r="U86" s="369"/>
      <c r="V86" s="369"/>
      <c r="W86" s="369"/>
    </row>
    <row r="87" spans="1:23" s="267" customFormat="1" ht="6" hidden="1" customHeight="1">
      <c r="A87" s="419"/>
      <c r="B87" s="715"/>
      <c r="C87" s="715"/>
      <c r="D87" s="272"/>
      <c r="E87" s="272"/>
      <c r="F87" s="272"/>
      <c r="G87" s="272"/>
      <c r="H87" s="272"/>
      <c r="I87" s="272"/>
      <c r="J87" s="272"/>
      <c r="K87" s="272"/>
      <c r="L87" s="272"/>
      <c r="M87" s="656"/>
      <c r="N87" s="468"/>
      <c r="O87" s="397"/>
      <c r="P87" s="370"/>
      <c r="Q87" s="370"/>
      <c r="R87" s="397"/>
      <c r="S87" s="398">
        <f t="shared" si="15"/>
        <v>0</v>
      </c>
      <c r="T87" s="503"/>
      <c r="U87" s="369"/>
      <c r="V87" s="369"/>
      <c r="W87" s="369"/>
    </row>
    <row r="88" spans="1:23" s="267" customFormat="1" ht="13" hidden="1">
      <c r="A88" s="424" t="s">
        <v>172</v>
      </c>
      <c r="B88" s="713"/>
      <c r="C88" s="732"/>
      <c r="D88" s="271"/>
      <c r="E88" s="271"/>
      <c r="F88" s="271"/>
      <c r="G88" s="271"/>
      <c r="H88" s="271"/>
      <c r="I88" s="271"/>
      <c r="J88" s="271"/>
      <c r="K88" s="271"/>
      <c r="L88" s="271"/>
      <c r="M88" s="654"/>
      <c r="N88" s="468"/>
      <c r="O88" s="397"/>
      <c r="P88" s="370"/>
      <c r="Q88" s="370"/>
      <c r="R88" s="397"/>
      <c r="S88" s="398">
        <f t="shared" si="15"/>
        <v>0</v>
      </c>
      <c r="T88" s="503"/>
      <c r="U88" s="369"/>
      <c r="V88" s="369"/>
      <c r="W88" s="369"/>
    </row>
    <row r="89" spans="1:23" s="267" customFormat="1" ht="13" hidden="1">
      <c r="A89" s="425" t="s">
        <v>173</v>
      </c>
      <c r="B89" s="713" t="e">
        <f>#REF!-#REF!</f>
        <v>#REF!</v>
      </c>
      <c r="C89" s="732" t="e">
        <f>#REF!-#REF!</f>
        <v>#REF!</v>
      </c>
      <c r="D89" s="271" t="e">
        <f>B89-#REF!</f>
        <v>#REF!</v>
      </c>
      <c r="E89" s="271" t="e">
        <f t="shared" ref="E89:M89" si="21">C89-B89</f>
        <v>#REF!</v>
      </c>
      <c r="F89" s="271" t="e">
        <f t="shared" si="21"/>
        <v>#REF!</v>
      </c>
      <c r="G89" s="271" t="e">
        <f t="shared" si="21"/>
        <v>#REF!</v>
      </c>
      <c r="H89" s="271" t="e">
        <f t="shared" si="21"/>
        <v>#REF!</v>
      </c>
      <c r="I89" s="271" t="e">
        <f t="shared" si="21"/>
        <v>#REF!</v>
      </c>
      <c r="J89" s="271" t="e">
        <f t="shared" si="21"/>
        <v>#REF!</v>
      </c>
      <c r="K89" s="271" t="e">
        <f t="shared" si="21"/>
        <v>#REF!</v>
      </c>
      <c r="L89" s="271" t="e">
        <f t="shared" si="21"/>
        <v>#REF!</v>
      </c>
      <c r="M89" s="654" t="e">
        <f t="shared" si="21"/>
        <v>#REF!</v>
      </c>
      <c r="N89" s="468"/>
      <c r="O89" s="397"/>
      <c r="P89" s="370"/>
      <c r="Q89" s="370"/>
      <c r="R89" s="397"/>
      <c r="S89" s="398">
        <f t="shared" si="15"/>
        <v>0</v>
      </c>
      <c r="T89" s="503"/>
      <c r="U89" s="369"/>
      <c r="V89" s="369"/>
      <c r="W89" s="369"/>
    </row>
    <row r="90" spans="1:23" s="267" customFormat="1" ht="13" hidden="1">
      <c r="A90" s="425" t="s">
        <v>174</v>
      </c>
      <c r="B90" s="713">
        <f>0</f>
        <v>0</v>
      </c>
      <c r="C90" s="732">
        <f>0</f>
        <v>0</v>
      </c>
      <c r="D90" s="271">
        <f>0</f>
        <v>0</v>
      </c>
      <c r="E90" s="271">
        <f>0</f>
        <v>0</v>
      </c>
      <c r="F90" s="271">
        <f>0</f>
        <v>0</v>
      </c>
      <c r="G90" s="271">
        <f>0</f>
        <v>0</v>
      </c>
      <c r="H90" s="271">
        <f>0</f>
        <v>0</v>
      </c>
      <c r="I90" s="271">
        <f>0</f>
        <v>0</v>
      </c>
      <c r="J90" s="271">
        <f>0</f>
        <v>0</v>
      </c>
      <c r="K90" s="271">
        <v>0</v>
      </c>
      <c r="L90" s="271">
        <f>0</f>
        <v>0</v>
      </c>
      <c r="M90" s="654">
        <f>0</f>
        <v>0</v>
      </c>
      <c r="N90" s="468"/>
      <c r="O90" s="397"/>
      <c r="P90" s="370"/>
      <c r="Q90" s="370"/>
      <c r="R90" s="397"/>
      <c r="S90" s="398">
        <f t="shared" si="15"/>
        <v>0</v>
      </c>
      <c r="T90" s="503"/>
      <c r="U90" s="369"/>
      <c r="V90" s="369"/>
      <c r="W90" s="369"/>
    </row>
    <row r="91" spans="1:23" s="267" customFormat="1" ht="13" hidden="1">
      <c r="A91" s="424" t="s">
        <v>175</v>
      </c>
      <c r="B91" s="713" t="e">
        <f>SUM(B89:B90)</f>
        <v>#REF!</v>
      </c>
      <c r="C91" s="732" t="e">
        <f t="shared" ref="C91:M91" si="22">SUM(C89:C90)</f>
        <v>#REF!</v>
      </c>
      <c r="D91" s="271" t="e">
        <f t="shared" si="22"/>
        <v>#REF!</v>
      </c>
      <c r="E91" s="271" t="e">
        <f t="shared" si="22"/>
        <v>#REF!</v>
      </c>
      <c r="F91" s="271" t="e">
        <f t="shared" si="22"/>
        <v>#REF!</v>
      </c>
      <c r="G91" s="271" t="e">
        <f t="shared" si="22"/>
        <v>#REF!</v>
      </c>
      <c r="H91" s="271" t="e">
        <f t="shared" si="22"/>
        <v>#REF!</v>
      </c>
      <c r="I91" s="271" t="e">
        <f t="shared" si="22"/>
        <v>#REF!</v>
      </c>
      <c r="J91" s="271" t="e">
        <f t="shared" si="22"/>
        <v>#REF!</v>
      </c>
      <c r="K91" s="271" t="e">
        <f t="shared" si="22"/>
        <v>#REF!</v>
      </c>
      <c r="L91" s="271" t="e">
        <f t="shared" si="22"/>
        <v>#REF!</v>
      </c>
      <c r="M91" s="654" t="e">
        <f t="shared" si="22"/>
        <v>#REF!</v>
      </c>
      <c r="N91" s="468"/>
      <c r="O91" s="397"/>
      <c r="P91" s="370"/>
      <c r="Q91" s="370"/>
      <c r="R91" s="397"/>
      <c r="S91" s="398">
        <f t="shared" si="15"/>
        <v>0</v>
      </c>
      <c r="T91" s="503"/>
      <c r="U91" s="369"/>
      <c r="V91" s="369"/>
      <c r="W91" s="369"/>
    </row>
    <row r="92" spans="1:23" s="267" customFormat="1" ht="15" customHeight="1">
      <c r="A92" s="419"/>
      <c r="B92" s="713"/>
      <c r="C92" s="732"/>
      <c r="D92" s="271"/>
      <c r="E92" s="271"/>
      <c r="F92" s="271"/>
      <c r="G92" s="271"/>
      <c r="H92" s="271"/>
      <c r="I92" s="271"/>
      <c r="J92" s="271"/>
      <c r="K92" s="271"/>
      <c r="L92" s="271"/>
      <c r="M92" s="654"/>
      <c r="N92" s="468"/>
      <c r="O92" s="397"/>
      <c r="P92" s="370"/>
      <c r="Q92" s="370"/>
      <c r="R92" s="397"/>
      <c r="S92" s="398">
        <f t="shared" si="15"/>
        <v>0</v>
      </c>
      <c r="T92" s="503"/>
      <c r="U92" s="369"/>
      <c r="V92" s="369"/>
      <c r="W92" s="369"/>
    </row>
    <row r="93" spans="1:23" s="267" customFormat="1" ht="13">
      <c r="A93" s="419" t="s">
        <v>176</v>
      </c>
      <c r="B93" s="713"/>
      <c r="C93" s="713"/>
      <c r="D93" s="278"/>
      <c r="E93" s="278"/>
      <c r="F93" s="278"/>
      <c r="G93" s="278"/>
      <c r="H93" s="278"/>
      <c r="I93" s="278"/>
      <c r="J93" s="278"/>
      <c r="K93" s="278"/>
      <c r="L93" s="278"/>
      <c r="M93" s="654"/>
      <c r="N93" s="468"/>
      <c r="O93" s="397"/>
      <c r="P93" s="133"/>
      <c r="Q93" s="133"/>
      <c r="R93" s="397"/>
      <c r="S93" s="398">
        <f t="shared" si="15"/>
        <v>0</v>
      </c>
      <c r="T93" s="500"/>
    </row>
    <row r="94" spans="1:23" s="267" customFormat="1" ht="13">
      <c r="A94" s="420" t="s">
        <v>177</v>
      </c>
      <c r="B94" s="723">
        <v>0</v>
      </c>
      <c r="C94" s="723">
        <v>0</v>
      </c>
      <c r="D94" s="675">
        <v>1000</v>
      </c>
      <c r="E94" s="675">
        <v>0</v>
      </c>
      <c r="F94" s="675">
        <v>0</v>
      </c>
      <c r="G94" s="382">
        <v>1000</v>
      </c>
      <c r="H94" s="382">
        <v>0</v>
      </c>
      <c r="I94" s="382">
        <v>0</v>
      </c>
      <c r="J94" s="382">
        <v>0</v>
      </c>
      <c r="K94" s="382">
        <v>0</v>
      </c>
      <c r="L94" s="382">
        <v>0</v>
      </c>
      <c r="M94" s="661">
        <v>1000</v>
      </c>
      <c r="N94" s="645">
        <f t="shared" ref="N94:N98" si="23">SUM(B94:M94)</f>
        <v>3000</v>
      </c>
      <c r="O94" s="397">
        <v>3000</v>
      </c>
      <c r="P94" s="271">
        <v>10934</v>
      </c>
      <c r="Q94" s="274">
        <f>N94-P94</f>
        <v>-7934</v>
      </c>
      <c r="R94" s="397">
        <v>34200</v>
      </c>
      <c r="S94" s="398">
        <f t="shared" si="15"/>
        <v>-31200</v>
      </c>
      <c r="T94" s="500"/>
    </row>
    <row r="95" spans="1:23" s="267" customFormat="1" ht="13">
      <c r="A95" s="420" t="s">
        <v>178</v>
      </c>
      <c r="B95" s="713">
        <v>1918</v>
      </c>
      <c r="C95" s="713">
        <v>1150</v>
      </c>
      <c r="D95" s="278">
        <v>2100</v>
      </c>
      <c r="E95" s="278">
        <v>2100</v>
      </c>
      <c r="F95" s="278">
        <v>2100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654">
        <v>0</v>
      </c>
      <c r="N95" s="468">
        <f t="shared" si="23"/>
        <v>9368</v>
      </c>
      <c r="O95" s="397">
        <v>11000</v>
      </c>
      <c r="P95" s="271">
        <v>40387.379999999997</v>
      </c>
      <c r="Q95" s="274">
        <f>N95-P95</f>
        <v>-31019.379999999997</v>
      </c>
      <c r="R95" s="397">
        <v>52000</v>
      </c>
      <c r="S95" s="398">
        <f t="shared" si="15"/>
        <v>-41000</v>
      </c>
      <c r="T95" s="500"/>
    </row>
    <row r="96" spans="1:23" s="267" customFormat="1" ht="13">
      <c r="A96" s="420" t="s">
        <v>180</v>
      </c>
      <c r="B96" s="713">
        <v>0</v>
      </c>
      <c r="C96" s="713">
        <v>0</v>
      </c>
      <c r="D96" s="278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654">
        <v>0</v>
      </c>
      <c r="N96" s="468">
        <f t="shared" si="23"/>
        <v>0</v>
      </c>
      <c r="O96" s="397">
        <v>0</v>
      </c>
      <c r="P96" s="271"/>
      <c r="Q96" s="274"/>
      <c r="R96" s="397">
        <v>0</v>
      </c>
      <c r="S96" s="398">
        <f t="shared" si="15"/>
        <v>0</v>
      </c>
      <c r="T96" s="500"/>
    </row>
    <row r="97" spans="1:20" s="267" customFormat="1" ht="13">
      <c r="A97" s="420" t="s">
        <v>181</v>
      </c>
      <c r="B97" s="713">
        <v>0</v>
      </c>
      <c r="C97" s="713">
        <v>0</v>
      </c>
      <c r="D97" s="278">
        <v>0</v>
      </c>
      <c r="E97" s="278">
        <v>0</v>
      </c>
      <c r="F97" s="278">
        <v>0</v>
      </c>
      <c r="G97" s="278">
        <v>0</v>
      </c>
      <c r="H97" s="278">
        <v>0</v>
      </c>
      <c r="I97" s="278">
        <v>0</v>
      </c>
      <c r="J97" s="278">
        <v>0</v>
      </c>
      <c r="K97" s="278">
        <v>0</v>
      </c>
      <c r="L97" s="278">
        <v>0</v>
      </c>
      <c r="M97" s="654">
        <v>0</v>
      </c>
      <c r="N97" s="468">
        <f t="shared" si="23"/>
        <v>0</v>
      </c>
      <c r="O97" s="397">
        <v>0</v>
      </c>
      <c r="P97" s="271"/>
      <c r="Q97" s="274"/>
      <c r="R97" s="397">
        <v>0</v>
      </c>
      <c r="S97" s="398">
        <f t="shared" si="15"/>
        <v>0</v>
      </c>
      <c r="T97" s="500"/>
    </row>
    <row r="98" spans="1:20" s="267" customFormat="1" ht="13">
      <c r="A98" s="420" t="s">
        <v>182</v>
      </c>
      <c r="B98" s="713">
        <v>0</v>
      </c>
      <c r="C98" s="713">
        <v>0</v>
      </c>
      <c r="D98" s="278">
        <v>0</v>
      </c>
      <c r="E98" s="278">
        <v>500</v>
      </c>
      <c r="F98" s="278">
        <v>500</v>
      </c>
      <c r="G98" s="278">
        <v>500</v>
      </c>
      <c r="H98" s="278">
        <v>500</v>
      </c>
      <c r="I98" s="278">
        <v>500</v>
      </c>
      <c r="J98" s="278">
        <v>500</v>
      </c>
      <c r="K98" s="278">
        <v>500</v>
      </c>
      <c r="L98" s="278">
        <v>500</v>
      </c>
      <c r="M98" s="654">
        <v>500</v>
      </c>
      <c r="N98" s="468">
        <f t="shared" si="23"/>
        <v>4500</v>
      </c>
      <c r="O98" s="397">
        <v>6000</v>
      </c>
      <c r="P98" s="271"/>
      <c r="Q98" s="274"/>
      <c r="R98" s="397">
        <v>12500</v>
      </c>
      <c r="S98" s="398">
        <f t="shared" si="15"/>
        <v>-6500</v>
      </c>
      <c r="T98" s="500"/>
    </row>
    <row r="99" spans="1:20" s="267" customFormat="1" ht="13">
      <c r="A99" s="420" t="s">
        <v>184</v>
      </c>
      <c r="B99" s="713"/>
      <c r="C99" s="713"/>
      <c r="D99" s="278"/>
      <c r="E99" s="278"/>
      <c r="F99" s="278"/>
      <c r="G99" s="278"/>
      <c r="H99" s="271"/>
      <c r="I99" s="271"/>
      <c r="J99" s="271"/>
      <c r="K99" s="271"/>
      <c r="L99" s="271"/>
      <c r="M99" s="654"/>
      <c r="N99" s="646"/>
      <c r="O99" s="397"/>
      <c r="P99" s="271"/>
      <c r="Q99" s="274">
        <f>N99-P99</f>
        <v>0</v>
      </c>
      <c r="R99" s="397"/>
      <c r="S99" s="398">
        <f t="shared" si="15"/>
        <v>0</v>
      </c>
      <c r="T99" s="500"/>
    </row>
    <row r="100" spans="1:20" s="267" customFormat="1" ht="13">
      <c r="A100" s="420" t="s">
        <v>186</v>
      </c>
      <c r="B100" s="719">
        <v>0</v>
      </c>
      <c r="C100" s="713">
        <v>0</v>
      </c>
      <c r="D100" s="278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78">
        <v>0</v>
      </c>
      <c r="K100" s="677">
        <v>0</v>
      </c>
      <c r="L100" s="278">
        <v>0</v>
      </c>
      <c r="M100" s="654">
        <v>0</v>
      </c>
      <c r="N100" s="468">
        <f>SUM(B100:M100)</f>
        <v>0</v>
      </c>
      <c r="O100" s="397">
        <v>3500</v>
      </c>
      <c r="P100" s="271">
        <v>0</v>
      </c>
      <c r="Q100" s="274">
        <f>N100-P100</f>
        <v>0</v>
      </c>
      <c r="R100" s="397">
        <v>7000</v>
      </c>
      <c r="S100" s="398">
        <f t="shared" si="15"/>
        <v>-3500</v>
      </c>
      <c r="T100" s="500"/>
    </row>
    <row r="101" spans="1:20" s="267" customFormat="1" ht="13">
      <c r="A101" s="420" t="s">
        <v>187</v>
      </c>
      <c r="B101" s="719">
        <v>0</v>
      </c>
      <c r="C101" s="713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677">
        <v>0</v>
      </c>
      <c r="L101" s="278">
        <v>0</v>
      </c>
      <c r="M101" s="654">
        <v>0</v>
      </c>
      <c r="N101" s="468">
        <f t="shared" ref="N101:N106" si="24">SUM(B101:M101)</f>
        <v>0</v>
      </c>
      <c r="O101" s="397">
        <v>1500</v>
      </c>
      <c r="P101" s="271">
        <v>11057.409999999998</v>
      </c>
      <c r="Q101" s="274">
        <f>N101-P101</f>
        <v>-11057.409999999998</v>
      </c>
      <c r="R101" s="397">
        <v>3000</v>
      </c>
      <c r="S101" s="398">
        <f t="shared" si="15"/>
        <v>-1500</v>
      </c>
      <c r="T101" s="500"/>
    </row>
    <row r="102" spans="1:20" s="267" customFormat="1" ht="13">
      <c r="A102" s="420" t="s">
        <v>188</v>
      </c>
      <c r="B102" s="719">
        <v>0</v>
      </c>
      <c r="C102" s="713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677">
        <v>0</v>
      </c>
      <c r="L102" s="278">
        <v>0</v>
      </c>
      <c r="M102" s="654">
        <v>0</v>
      </c>
      <c r="N102" s="468">
        <f>SUM(B102:M102)</f>
        <v>0</v>
      </c>
      <c r="O102" s="397">
        <v>1000</v>
      </c>
      <c r="P102" s="271">
        <v>5082.8500000000004</v>
      </c>
      <c r="Q102" s="274">
        <f>N102-P102</f>
        <v>-5082.8500000000004</v>
      </c>
      <c r="R102" s="397">
        <v>2000</v>
      </c>
      <c r="S102" s="398">
        <f t="shared" si="15"/>
        <v>-1000</v>
      </c>
      <c r="T102" s="500"/>
    </row>
    <row r="103" spans="1:20" s="267" customFormat="1" ht="13">
      <c r="A103" s="420" t="s">
        <v>189</v>
      </c>
      <c r="B103" s="719">
        <v>0</v>
      </c>
      <c r="C103" s="713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677">
        <v>0</v>
      </c>
      <c r="L103" s="278">
        <v>0</v>
      </c>
      <c r="M103" s="654">
        <v>0</v>
      </c>
      <c r="N103" s="468">
        <f t="shared" si="24"/>
        <v>0</v>
      </c>
      <c r="O103" s="397">
        <v>1000</v>
      </c>
      <c r="P103" s="271">
        <v>7928.23</v>
      </c>
      <c r="Q103" s="274">
        <f>N103-P103</f>
        <v>-7928.23</v>
      </c>
      <c r="R103" s="397">
        <v>2000</v>
      </c>
      <c r="S103" s="398">
        <f t="shared" si="15"/>
        <v>-1000</v>
      </c>
      <c r="T103" s="500"/>
    </row>
    <row r="104" spans="1:20" s="267" customFormat="1" ht="13">
      <c r="A104" s="420" t="s">
        <v>190</v>
      </c>
      <c r="B104" s="719">
        <v>0</v>
      </c>
      <c r="C104" s="713">
        <v>0</v>
      </c>
      <c r="D104" s="278">
        <v>0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K104" s="677">
        <v>0</v>
      </c>
      <c r="L104" s="278">
        <v>0</v>
      </c>
      <c r="M104" s="654">
        <v>0</v>
      </c>
      <c r="N104" s="468">
        <f t="shared" si="24"/>
        <v>0</v>
      </c>
      <c r="O104" s="397">
        <v>2000</v>
      </c>
      <c r="P104" s="271"/>
      <c r="Q104" s="274"/>
      <c r="R104" s="397">
        <v>4000</v>
      </c>
      <c r="S104" s="398">
        <f t="shared" si="15"/>
        <v>-2000</v>
      </c>
      <c r="T104" s="500"/>
    </row>
    <row r="105" spans="1:20" s="267" customFormat="1" ht="13">
      <c r="A105" s="426" t="s">
        <v>191</v>
      </c>
      <c r="B105" s="719">
        <v>0</v>
      </c>
      <c r="C105" s="713">
        <v>0</v>
      </c>
      <c r="D105" s="278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677">
        <v>0</v>
      </c>
      <c r="L105" s="278">
        <v>0</v>
      </c>
      <c r="M105" s="654">
        <v>0</v>
      </c>
      <c r="N105" s="468">
        <f t="shared" si="24"/>
        <v>0</v>
      </c>
      <c r="O105" s="397">
        <v>1000</v>
      </c>
      <c r="P105" s="271"/>
      <c r="Q105" s="274"/>
      <c r="R105" s="397">
        <v>2000</v>
      </c>
      <c r="S105" s="398">
        <f t="shared" si="15"/>
        <v>-1000</v>
      </c>
      <c r="T105" s="500"/>
    </row>
    <row r="106" spans="1:20" s="267" customFormat="1" ht="13">
      <c r="A106" s="426" t="s">
        <v>298</v>
      </c>
      <c r="B106" s="719">
        <v>99</v>
      </c>
      <c r="C106" s="713">
        <v>530.75</v>
      </c>
      <c r="D106" s="278">
        <v>1412.5</v>
      </c>
      <c r="E106" s="278">
        <v>200</v>
      </c>
      <c r="F106" s="278">
        <v>200</v>
      </c>
      <c r="G106" s="278">
        <v>200</v>
      </c>
      <c r="H106" s="278">
        <v>200</v>
      </c>
      <c r="I106" s="278">
        <v>200</v>
      </c>
      <c r="J106" s="278">
        <v>200</v>
      </c>
      <c r="K106" s="677">
        <v>200</v>
      </c>
      <c r="L106" s="278">
        <v>200</v>
      </c>
      <c r="M106" s="654">
        <v>200</v>
      </c>
      <c r="N106" s="468">
        <f t="shared" si="24"/>
        <v>3842.25</v>
      </c>
      <c r="O106" s="397"/>
      <c r="P106" s="271"/>
      <c r="Q106" s="274"/>
      <c r="R106" s="397"/>
      <c r="S106" s="398"/>
      <c r="T106" s="500"/>
    </row>
    <row r="107" spans="1:20" s="267" customFormat="1" ht="13">
      <c r="A107" s="577" t="s">
        <v>194</v>
      </c>
      <c r="B107" s="719">
        <v>0</v>
      </c>
      <c r="C107" s="713">
        <v>0</v>
      </c>
      <c r="D107" s="677">
        <v>0</v>
      </c>
      <c r="E107" s="677">
        <v>0</v>
      </c>
      <c r="F107" s="677">
        <v>0</v>
      </c>
      <c r="G107" s="677">
        <v>0</v>
      </c>
      <c r="H107" s="677">
        <v>0</v>
      </c>
      <c r="I107" s="677">
        <v>0</v>
      </c>
      <c r="J107" s="677">
        <v>0</v>
      </c>
      <c r="K107" s="677">
        <v>0</v>
      </c>
      <c r="L107" s="677">
        <v>0</v>
      </c>
      <c r="M107" s="696">
        <v>0</v>
      </c>
      <c r="N107" s="468">
        <f>SUM(B107:M107)</f>
        <v>0</v>
      </c>
      <c r="O107" s="397">
        <v>0</v>
      </c>
      <c r="P107" s="278"/>
      <c r="Q107" s="286"/>
      <c r="R107" s="397">
        <v>64000</v>
      </c>
      <c r="S107" s="398">
        <f t="shared" si="15"/>
        <v>-64000</v>
      </c>
      <c r="T107" s="500"/>
    </row>
    <row r="108" spans="1:20" s="267" customFormat="1" ht="13">
      <c r="A108" s="419" t="s">
        <v>92</v>
      </c>
      <c r="B108" s="724">
        <f t="shared" ref="B108:M108" si="25">SUM(B94:B107)</f>
        <v>2017</v>
      </c>
      <c r="C108" s="715">
        <f t="shared" si="25"/>
        <v>1680.75</v>
      </c>
      <c r="D108" s="469">
        <f t="shared" si="25"/>
        <v>4512.5</v>
      </c>
      <c r="E108" s="469">
        <f t="shared" si="25"/>
        <v>2800</v>
      </c>
      <c r="F108" s="469">
        <f t="shared" si="25"/>
        <v>2800</v>
      </c>
      <c r="G108" s="469">
        <f t="shared" si="25"/>
        <v>1700</v>
      </c>
      <c r="H108" s="469">
        <f t="shared" si="25"/>
        <v>700</v>
      </c>
      <c r="I108" s="469">
        <f t="shared" si="25"/>
        <v>700</v>
      </c>
      <c r="J108" s="469">
        <f t="shared" si="25"/>
        <v>700</v>
      </c>
      <c r="K108" s="469">
        <f t="shared" si="25"/>
        <v>700</v>
      </c>
      <c r="L108" s="469">
        <f t="shared" si="25"/>
        <v>700</v>
      </c>
      <c r="M108" s="660">
        <f t="shared" si="25"/>
        <v>1700</v>
      </c>
      <c r="N108" s="641">
        <f>SUM(B108:M108)</f>
        <v>20710.25</v>
      </c>
      <c r="O108" s="440">
        <f>SUM(O92:O107)</f>
        <v>30000</v>
      </c>
      <c r="P108" s="276">
        <v>80414.87</v>
      </c>
      <c r="Q108" s="276">
        <f>N108-P108</f>
        <v>-59704.619999999995</v>
      </c>
      <c r="R108" s="440">
        <f>SUM(R92:R107)</f>
        <v>182700</v>
      </c>
      <c r="S108" s="398">
        <f t="shared" si="15"/>
        <v>-152700</v>
      </c>
      <c r="T108" s="500"/>
    </row>
    <row r="109" spans="1:20" s="267" customFormat="1" ht="13" customHeight="1">
      <c r="A109" s="419"/>
      <c r="B109" s="715"/>
      <c r="C109" s="735"/>
      <c r="D109" s="272"/>
      <c r="E109" s="272"/>
      <c r="F109" s="272"/>
      <c r="G109" s="272"/>
      <c r="H109" s="272"/>
      <c r="I109" s="272"/>
      <c r="J109" s="272"/>
      <c r="K109" s="272"/>
      <c r="L109" s="272"/>
      <c r="M109" s="656"/>
      <c r="N109" s="468"/>
      <c r="O109" s="397"/>
      <c r="P109" s="133"/>
      <c r="Q109" s="133"/>
      <c r="R109" s="397"/>
      <c r="S109" s="398">
        <f t="shared" si="15"/>
        <v>0</v>
      </c>
      <c r="T109" s="500"/>
    </row>
    <row r="110" spans="1:20" s="267" customFormat="1" ht="14" customHeight="1">
      <c r="A110" s="419"/>
      <c r="B110" s="715"/>
      <c r="C110" s="715"/>
      <c r="D110" s="272"/>
      <c r="E110" s="272"/>
      <c r="F110" s="272"/>
      <c r="G110" s="272"/>
      <c r="H110" s="272"/>
      <c r="I110" s="272"/>
      <c r="J110" s="272"/>
      <c r="K110" s="272"/>
      <c r="L110" s="272"/>
      <c r="M110" s="656"/>
      <c r="N110" s="468"/>
      <c r="O110" s="397"/>
      <c r="P110" s="133"/>
      <c r="Q110" s="133"/>
      <c r="R110" s="397"/>
      <c r="S110" s="398">
        <f t="shared" si="15"/>
        <v>0</v>
      </c>
      <c r="T110" s="500"/>
    </row>
    <row r="111" spans="1:20" s="267" customFormat="1" ht="13">
      <c r="A111" s="419" t="s">
        <v>195</v>
      </c>
      <c r="B111" s="713"/>
      <c r="C111" s="732"/>
      <c r="D111" s="271"/>
      <c r="E111" s="271"/>
      <c r="F111" s="271"/>
      <c r="G111" s="271"/>
      <c r="H111" s="271"/>
      <c r="I111" s="271"/>
      <c r="J111" s="271"/>
      <c r="K111" s="271"/>
      <c r="L111" s="271"/>
      <c r="M111" s="654"/>
      <c r="N111" s="468"/>
      <c r="O111" s="397"/>
      <c r="P111" s="133"/>
      <c r="Q111" s="133"/>
      <c r="R111" s="397"/>
      <c r="S111" s="398">
        <f t="shared" si="15"/>
        <v>0</v>
      </c>
      <c r="T111" s="500"/>
    </row>
    <row r="112" spans="1:20" s="267" customFormat="1" ht="13">
      <c r="A112" s="420" t="s">
        <v>196</v>
      </c>
      <c r="B112" s="713">
        <v>0</v>
      </c>
      <c r="C112" s="732">
        <v>0</v>
      </c>
      <c r="D112" s="271">
        <v>0</v>
      </c>
      <c r="E112" s="271">
        <v>0</v>
      </c>
      <c r="F112" s="271">
        <v>0</v>
      </c>
      <c r="G112" s="271">
        <v>0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654">
        <v>0</v>
      </c>
      <c r="N112" s="468">
        <f>SUM(B112:M112)</f>
        <v>0</v>
      </c>
      <c r="O112" s="397">
        <v>0</v>
      </c>
      <c r="P112" s="271">
        <v>11031.75</v>
      </c>
      <c r="Q112" s="274">
        <f>N112-P112</f>
        <v>-11031.75</v>
      </c>
      <c r="R112" s="397">
        <v>0</v>
      </c>
      <c r="S112" s="398">
        <f>O112-R112</f>
        <v>0</v>
      </c>
      <c r="T112" s="500"/>
    </row>
    <row r="113" spans="1:20" s="738" customFormat="1" ht="13">
      <c r="A113" s="420" t="s">
        <v>689</v>
      </c>
      <c r="B113" s="740"/>
      <c r="C113" s="740">
        <v>-1063.9100000000001</v>
      </c>
      <c r="M113" s="741"/>
      <c r="N113" s="736"/>
      <c r="O113" s="737"/>
      <c r="S113" s="739"/>
    </row>
    <row r="114" spans="1:20" s="267" customFormat="1" ht="13">
      <c r="A114" s="419" t="s">
        <v>223</v>
      </c>
      <c r="B114" s="721">
        <f>SUM(B112:B112)</f>
        <v>0</v>
      </c>
      <c r="C114" s="724">
        <f>SUM(C112:C113)</f>
        <v>-1063.9100000000001</v>
      </c>
      <c r="D114" s="469">
        <f t="shared" ref="D114:M114" si="26">SUM(D112:D112)</f>
        <v>0</v>
      </c>
      <c r="E114" s="469">
        <f t="shared" si="26"/>
        <v>0</v>
      </c>
      <c r="F114" s="469">
        <f t="shared" si="26"/>
        <v>0</v>
      </c>
      <c r="G114" s="469">
        <f t="shared" si="26"/>
        <v>0</v>
      </c>
      <c r="H114" s="469">
        <f t="shared" si="26"/>
        <v>0</v>
      </c>
      <c r="I114" s="469">
        <f t="shared" si="26"/>
        <v>0</v>
      </c>
      <c r="J114" s="469">
        <f t="shared" si="26"/>
        <v>0</v>
      </c>
      <c r="K114" s="469">
        <f t="shared" si="26"/>
        <v>0</v>
      </c>
      <c r="L114" s="469">
        <f t="shared" si="26"/>
        <v>0</v>
      </c>
      <c r="M114" s="660">
        <f t="shared" si="26"/>
        <v>0</v>
      </c>
      <c r="N114" s="467">
        <f>SUM(B114:M114)</f>
        <v>-1063.9100000000001</v>
      </c>
      <c r="O114" s="399">
        <v>0</v>
      </c>
      <c r="P114" s="469">
        <v>18072.3</v>
      </c>
      <c r="Q114" s="469">
        <f>N114-P114</f>
        <v>-19136.21</v>
      </c>
      <c r="R114" s="408">
        <v>0</v>
      </c>
      <c r="S114" s="398">
        <f t="shared" si="15"/>
        <v>0</v>
      </c>
      <c r="T114" s="500"/>
    </row>
    <row r="115" spans="1:20" s="267" customFormat="1" ht="6" customHeight="1">
      <c r="A115" s="419"/>
      <c r="B115" s="715"/>
      <c r="C115" s="715"/>
      <c r="D115" s="272"/>
      <c r="E115" s="272"/>
      <c r="F115" s="272"/>
      <c r="G115" s="272"/>
      <c r="H115" s="272"/>
      <c r="I115" s="272"/>
      <c r="J115" s="272"/>
      <c r="K115" s="272"/>
      <c r="L115" s="272"/>
      <c r="M115" s="656"/>
      <c r="N115" s="468"/>
      <c r="O115" s="397"/>
      <c r="P115" s="133"/>
      <c r="Q115" s="133"/>
      <c r="R115" s="397"/>
      <c r="S115" s="398">
        <f t="shared" si="15"/>
        <v>0</v>
      </c>
      <c r="T115" s="500"/>
    </row>
    <row r="116" spans="1:20" s="267" customFormat="1" ht="14.5" customHeight="1">
      <c r="A116" s="419" t="s">
        <v>198</v>
      </c>
      <c r="B116" s="715"/>
      <c r="C116" s="715"/>
      <c r="D116" s="272"/>
      <c r="E116" s="272"/>
      <c r="F116" s="272"/>
      <c r="G116" s="272"/>
      <c r="H116" s="272"/>
      <c r="I116" s="272"/>
      <c r="J116" s="272"/>
      <c r="K116" s="272"/>
      <c r="L116" s="272"/>
      <c r="M116" s="656"/>
      <c r="N116" s="468"/>
      <c r="O116" s="397"/>
      <c r="P116" s="133"/>
      <c r="Q116" s="133"/>
      <c r="R116" s="397"/>
      <c r="S116" s="398">
        <f t="shared" si="15"/>
        <v>0</v>
      </c>
      <c r="T116" s="500"/>
    </row>
    <row r="117" spans="1:20" s="267" customFormat="1" ht="13">
      <c r="A117" s="420" t="s">
        <v>199</v>
      </c>
      <c r="B117" s="713">
        <v>17956</v>
      </c>
      <c r="C117" s="713">
        <v>17956</v>
      </c>
      <c r="D117" s="278">
        <v>18000</v>
      </c>
      <c r="E117" s="278">
        <v>18000</v>
      </c>
      <c r="F117" s="278">
        <v>18000</v>
      </c>
      <c r="G117" s="278">
        <v>18000</v>
      </c>
      <c r="H117" s="278">
        <v>18000</v>
      </c>
      <c r="I117" s="278">
        <v>18000</v>
      </c>
      <c r="J117" s="278">
        <v>18000</v>
      </c>
      <c r="K117" s="278">
        <v>18000</v>
      </c>
      <c r="L117" s="278">
        <v>18000</v>
      </c>
      <c r="M117" s="654">
        <v>18000</v>
      </c>
      <c r="N117" s="468">
        <f>SUM(B117:M117)</f>
        <v>215912</v>
      </c>
      <c r="O117" s="397">
        <v>216000</v>
      </c>
      <c r="P117" s="271">
        <v>376153.68000000011</v>
      </c>
      <c r="Q117" s="274">
        <f>N117-P117</f>
        <v>-160241.68000000011</v>
      </c>
      <c r="R117" s="397">
        <v>216000</v>
      </c>
      <c r="S117" s="398">
        <f t="shared" si="15"/>
        <v>0</v>
      </c>
      <c r="T117" s="500"/>
    </row>
    <row r="118" spans="1:20" s="267" customFormat="1" ht="13">
      <c r="A118" s="420" t="s">
        <v>200</v>
      </c>
      <c r="B118" s="713">
        <v>21876</v>
      </c>
      <c r="C118" s="713">
        <v>8927.5</v>
      </c>
      <c r="D118" s="278">
        <v>0</v>
      </c>
      <c r="E118" s="278">
        <v>0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  <c r="L118" s="278">
        <v>0</v>
      </c>
      <c r="M118" s="654">
        <v>0</v>
      </c>
      <c r="N118" s="468">
        <f>SUM(B118:M118)</f>
        <v>30803.5</v>
      </c>
      <c r="O118" s="397"/>
      <c r="P118" s="271">
        <v>46507.833333333336</v>
      </c>
      <c r="Q118" s="274">
        <f>N118-P118</f>
        <v>-15704.333333333336</v>
      </c>
      <c r="R118" s="397"/>
      <c r="S118" s="398">
        <f t="shared" si="15"/>
        <v>0</v>
      </c>
      <c r="T118" s="507"/>
    </row>
    <row r="119" spans="1:20" s="705" customFormat="1" ht="26">
      <c r="A119" s="697" t="s">
        <v>201</v>
      </c>
      <c r="B119" s="717">
        <v>0</v>
      </c>
      <c r="C119" s="717">
        <v>0</v>
      </c>
      <c r="D119" s="674">
        <v>0</v>
      </c>
      <c r="E119" s="674">
        <v>0</v>
      </c>
      <c r="F119" s="674">
        <v>0</v>
      </c>
      <c r="G119" s="674">
        <v>0</v>
      </c>
      <c r="H119" s="674">
        <v>0</v>
      </c>
      <c r="I119" s="674">
        <v>0</v>
      </c>
      <c r="J119" s="674">
        <v>0</v>
      </c>
      <c r="K119" s="674">
        <v>0</v>
      </c>
      <c r="L119" s="674">
        <v>0</v>
      </c>
      <c r="M119" s="698">
        <v>0</v>
      </c>
      <c r="N119" s="699">
        <f>SUM(B119:M119)</f>
        <v>0</v>
      </c>
      <c r="O119" s="700">
        <v>10000</v>
      </c>
      <c r="P119" s="701"/>
      <c r="Q119" s="702"/>
      <c r="R119" s="700">
        <v>150000</v>
      </c>
      <c r="S119" s="703">
        <f t="shared" si="15"/>
        <v>-140000</v>
      </c>
      <c r="T119" s="704" t="s">
        <v>256</v>
      </c>
    </row>
    <row r="120" spans="1:20" s="705" customFormat="1" ht="39">
      <c r="A120" s="697" t="s">
        <v>202</v>
      </c>
      <c r="B120" s="717">
        <v>0</v>
      </c>
      <c r="C120" s="717">
        <v>0</v>
      </c>
      <c r="D120" s="674">
        <v>4000</v>
      </c>
      <c r="E120" s="674">
        <v>4000</v>
      </c>
      <c r="F120" s="674">
        <v>4000</v>
      </c>
      <c r="G120" s="674">
        <v>4000</v>
      </c>
      <c r="H120" s="674">
        <v>0</v>
      </c>
      <c r="I120" s="674">
        <v>0</v>
      </c>
      <c r="J120" s="674">
        <v>0</v>
      </c>
      <c r="K120" s="674">
        <v>0</v>
      </c>
      <c r="L120" s="674">
        <v>0</v>
      </c>
      <c r="M120" s="698">
        <v>0</v>
      </c>
      <c r="N120" s="699">
        <f t="shared" ref="N120:N129" si="27">SUM(B120:M120)</f>
        <v>16000</v>
      </c>
      <c r="O120" s="700">
        <v>50500</v>
      </c>
      <c r="P120" s="701"/>
      <c r="Q120" s="702"/>
      <c r="R120" s="700">
        <v>84000</v>
      </c>
      <c r="S120" s="703">
        <f t="shared" si="15"/>
        <v>-33500</v>
      </c>
      <c r="T120" s="704" t="s">
        <v>263</v>
      </c>
    </row>
    <row r="121" spans="1:20" s="527" customFormat="1" ht="13">
      <c r="A121" s="519" t="s">
        <v>203</v>
      </c>
      <c r="B121" s="717">
        <v>0</v>
      </c>
      <c r="C121" s="717">
        <v>0</v>
      </c>
      <c r="D121" s="520">
        <v>1700</v>
      </c>
      <c r="E121" s="520">
        <v>1700</v>
      </c>
      <c r="F121" s="520">
        <v>1700</v>
      </c>
      <c r="G121" s="520">
        <v>1700</v>
      </c>
      <c r="H121" s="520">
        <v>1700</v>
      </c>
      <c r="I121" s="520">
        <v>1700</v>
      </c>
      <c r="J121" s="520">
        <v>1700</v>
      </c>
      <c r="K121" s="520">
        <v>1700</v>
      </c>
      <c r="L121" s="520">
        <v>1700</v>
      </c>
      <c r="M121" s="658">
        <v>1700</v>
      </c>
      <c r="N121" s="673">
        <f>SUM(B121:M121)</f>
        <v>17000</v>
      </c>
      <c r="O121" s="542">
        <v>20400</v>
      </c>
      <c r="P121" s="521"/>
      <c r="Q121" s="543"/>
      <c r="R121" s="542">
        <v>20400</v>
      </c>
      <c r="S121" s="525">
        <f t="shared" si="15"/>
        <v>0</v>
      </c>
      <c r="T121" s="526"/>
    </row>
    <row r="122" spans="1:20" s="527" customFormat="1" ht="39">
      <c r="A122" s="519" t="s">
        <v>204</v>
      </c>
      <c r="B122" s="717">
        <v>0</v>
      </c>
      <c r="C122" s="717">
        <v>0</v>
      </c>
      <c r="D122" s="520">
        <v>0</v>
      </c>
      <c r="E122" s="520">
        <v>0</v>
      </c>
      <c r="F122" s="520">
        <v>0</v>
      </c>
      <c r="G122" s="520">
        <v>0</v>
      </c>
      <c r="H122" s="520">
        <v>0</v>
      </c>
      <c r="I122" s="520">
        <v>0</v>
      </c>
      <c r="J122" s="520">
        <v>0</v>
      </c>
      <c r="K122" s="520">
        <v>0</v>
      </c>
      <c r="L122" s="520">
        <v>0</v>
      </c>
      <c r="M122" s="658">
        <v>0</v>
      </c>
      <c r="N122" s="673">
        <f t="shared" si="27"/>
        <v>0</v>
      </c>
      <c r="O122" s="542">
        <v>3000</v>
      </c>
      <c r="P122" s="521"/>
      <c r="Q122" s="543"/>
      <c r="R122" s="542">
        <v>48000</v>
      </c>
      <c r="S122" s="525">
        <f t="shared" si="15"/>
        <v>-45000</v>
      </c>
      <c r="T122" s="526" t="s">
        <v>264</v>
      </c>
    </row>
    <row r="123" spans="1:20" s="527" customFormat="1" ht="13">
      <c r="A123" s="519" t="s">
        <v>205</v>
      </c>
      <c r="B123" s="717">
        <v>0</v>
      </c>
      <c r="C123" s="717">
        <v>0</v>
      </c>
      <c r="D123" s="520">
        <v>500</v>
      </c>
      <c r="E123" s="520">
        <v>500</v>
      </c>
      <c r="F123" s="520">
        <v>500</v>
      </c>
      <c r="G123" s="520">
        <v>500</v>
      </c>
      <c r="H123" s="520">
        <v>500</v>
      </c>
      <c r="I123" s="520">
        <v>500</v>
      </c>
      <c r="J123" s="520">
        <v>500</v>
      </c>
      <c r="K123" s="520">
        <v>500</v>
      </c>
      <c r="L123" s="520">
        <v>500</v>
      </c>
      <c r="M123" s="658">
        <v>500</v>
      </c>
      <c r="N123" s="673">
        <f t="shared" si="27"/>
        <v>5000</v>
      </c>
      <c r="O123" s="542">
        <v>6000</v>
      </c>
      <c r="P123" s="521"/>
      <c r="Q123" s="543"/>
      <c r="R123" s="542">
        <v>6000</v>
      </c>
      <c r="S123" s="525">
        <f t="shared" si="15"/>
        <v>0</v>
      </c>
      <c r="T123" s="526"/>
    </row>
    <row r="124" spans="1:20" s="527" customFormat="1" ht="13">
      <c r="A124" s="519" t="s">
        <v>257</v>
      </c>
      <c r="B124" s="717">
        <v>0</v>
      </c>
      <c r="C124" s="717">
        <v>0</v>
      </c>
      <c r="D124" s="520">
        <v>0</v>
      </c>
      <c r="E124" s="520">
        <v>0</v>
      </c>
      <c r="F124" s="520">
        <v>0</v>
      </c>
      <c r="G124" s="520">
        <v>0</v>
      </c>
      <c r="H124" s="520">
        <v>0</v>
      </c>
      <c r="I124" s="520">
        <v>0</v>
      </c>
      <c r="J124" s="520">
        <v>0</v>
      </c>
      <c r="K124" s="520">
        <v>0</v>
      </c>
      <c r="L124" s="520">
        <v>0</v>
      </c>
      <c r="M124" s="658">
        <v>0</v>
      </c>
      <c r="N124" s="673">
        <f t="shared" si="27"/>
        <v>0</v>
      </c>
      <c r="O124" s="542">
        <v>0</v>
      </c>
      <c r="P124" s="521"/>
      <c r="Q124" s="543"/>
      <c r="R124" s="542">
        <v>24000</v>
      </c>
      <c r="S124" s="525">
        <f t="shared" si="15"/>
        <v>-24000</v>
      </c>
      <c r="T124" s="526"/>
    </row>
    <row r="125" spans="1:20" s="527" customFormat="1" ht="13">
      <c r="A125" s="519" t="s">
        <v>207</v>
      </c>
      <c r="B125" s="717">
        <v>0</v>
      </c>
      <c r="C125" s="717">
        <v>0</v>
      </c>
      <c r="D125" s="520">
        <v>2000</v>
      </c>
      <c r="E125" s="520">
        <v>2000</v>
      </c>
      <c r="F125" s="520">
        <v>2000</v>
      </c>
      <c r="G125" s="520">
        <v>2000</v>
      </c>
      <c r="H125" s="520">
        <v>2000</v>
      </c>
      <c r="I125" s="520">
        <v>2000</v>
      </c>
      <c r="J125" s="520">
        <v>2000</v>
      </c>
      <c r="K125" s="520">
        <v>2000</v>
      </c>
      <c r="L125" s="520">
        <v>2000</v>
      </c>
      <c r="M125" s="658">
        <v>2000</v>
      </c>
      <c r="N125" s="673">
        <f>SUM(B125:M125)</f>
        <v>20000</v>
      </c>
      <c r="O125" s="542">
        <v>24000</v>
      </c>
      <c r="P125" s="521"/>
      <c r="Q125" s="543"/>
      <c r="R125" s="542">
        <v>24000</v>
      </c>
      <c r="S125" s="525">
        <f t="shared" si="15"/>
        <v>0</v>
      </c>
      <c r="T125" s="526"/>
    </row>
    <row r="126" spans="1:20" s="527" customFormat="1" ht="26">
      <c r="A126" s="519" t="s">
        <v>258</v>
      </c>
      <c r="B126" s="717">
        <v>0</v>
      </c>
      <c r="C126" s="717">
        <v>0</v>
      </c>
      <c r="D126" s="520">
        <v>1000</v>
      </c>
      <c r="E126" s="520">
        <v>1000</v>
      </c>
      <c r="F126" s="520">
        <v>1000</v>
      </c>
      <c r="G126" s="520">
        <v>1000</v>
      </c>
      <c r="H126" s="520">
        <v>1000</v>
      </c>
      <c r="I126" s="520">
        <v>1000</v>
      </c>
      <c r="J126" s="520">
        <v>1000</v>
      </c>
      <c r="K126" s="520">
        <v>1000</v>
      </c>
      <c r="L126" s="520">
        <v>1000</v>
      </c>
      <c r="M126" s="658">
        <v>1000</v>
      </c>
      <c r="N126" s="673">
        <f>SUM(B126:M126)</f>
        <v>10000</v>
      </c>
      <c r="O126" s="542">
        <v>12000</v>
      </c>
      <c r="P126" s="521"/>
      <c r="Q126" s="543"/>
      <c r="R126" s="542">
        <v>48000</v>
      </c>
      <c r="S126" s="525">
        <f t="shared" si="15"/>
        <v>-36000</v>
      </c>
      <c r="T126" s="526" t="s">
        <v>265</v>
      </c>
    </row>
    <row r="127" spans="1:20" s="527" customFormat="1" ht="26">
      <c r="A127" s="519" t="s">
        <v>209</v>
      </c>
      <c r="B127" s="717">
        <v>0</v>
      </c>
      <c r="C127" s="717">
        <v>0</v>
      </c>
      <c r="D127" s="520">
        <v>0</v>
      </c>
      <c r="E127" s="520">
        <v>0</v>
      </c>
      <c r="F127" s="520">
        <v>0</v>
      </c>
      <c r="G127" s="520">
        <v>0</v>
      </c>
      <c r="H127" s="520">
        <v>0</v>
      </c>
      <c r="I127" s="520">
        <v>0</v>
      </c>
      <c r="J127" s="520">
        <v>0</v>
      </c>
      <c r="K127" s="520">
        <v>0</v>
      </c>
      <c r="L127" s="520">
        <v>0</v>
      </c>
      <c r="M127" s="658">
        <v>0</v>
      </c>
      <c r="N127" s="673">
        <f>SUM(B127:M127)</f>
        <v>0</v>
      </c>
      <c r="O127" s="542">
        <v>0</v>
      </c>
      <c r="P127" s="521"/>
      <c r="Q127" s="543"/>
      <c r="R127" s="542">
        <v>36000</v>
      </c>
      <c r="S127" s="525">
        <f t="shared" si="15"/>
        <v>-36000</v>
      </c>
      <c r="T127" s="526" t="s">
        <v>259</v>
      </c>
    </row>
    <row r="128" spans="1:20" s="267" customFormat="1" ht="13">
      <c r="A128" s="420" t="s">
        <v>210</v>
      </c>
      <c r="B128" s="713">
        <v>0</v>
      </c>
      <c r="C128" s="732">
        <v>0</v>
      </c>
      <c r="D128" s="271">
        <v>0</v>
      </c>
      <c r="E128" s="271">
        <v>0</v>
      </c>
      <c r="F128" s="271">
        <v>0</v>
      </c>
      <c r="G128" s="271">
        <v>0</v>
      </c>
      <c r="H128" s="271">
        <v>0</v>
      </c>
      <c r="I128" s="271">
        <v>0</v>
      </c>
      <c r="J128" s="271">
        <f>'Payroll Worksheet'!AH23</f>
        <v>0</v>
      </c>
      <c r="K128" s="271">
        <f>'Payroll Worksheet'!AI23</f>
        <v>0</v>
      </c>
      <c r="L128" s="271">
        <f>'Payroll Worksheet'!AJ23</f>
        <v>0</v>
      </c>
      <c r="M128" s="654">
        <f>'Payroll Worksheet'!AK23</f>
        <v>0</v>
      </c>
      <c r="N128" s="467">
        <f t="shared" si="27"/>
        <v>0</v>
      </c>
      <c r="O128" s="406">
        <v>0</v>
      </c>
      <c r="P128" s="271">
        <v>891.46</v>
      </c>
      <c r="Q128" s="274">
        <f>N128-P128</f>
        <v>-891.46</v>
      </c>
      <c r="R128" s="406">
        <v>0</v>
      </c>
      <c r="S128" s="398">
        <f t="shared" si="15"/>
        <v>0</v>
      </c>
      <c r="T128" s="500"/>
    </row>
    <row r="129" spans="1:41" s="267" customFormat="1" ht="13">
      <c r="A129" s="420" t="s">
        <v>211</v>
      </c>
      <c r="B129" s="713">
        <v>0</v>
      </c>
      <c r="C129" s="732">
        <v>0</v>
      </c>
      <c r="D129" s="271">
        <v>0</v>
      </c>
      <c r="E129" s="271">
        <v>0</v>
      </c>
      <c r="F129" s="271">
        <v>0</v>
      </c>
      <c r="G129" s="271">
        <v>0</v>
      </c>
      <c r="H129" s="271">
        <v>0</v>
      </c>
      <c r="I129" s="271">
        <v>0</v>
      </c>
      <c r="J129" s="271">
        <f>'Payroll Worksheet'!AH21</f>
        <v>0</v>
      </c>
      <c r="K129" s="271">
        <f>'Payroll Worksheet'!AI21</f>
        <v>0</v>
      </c>
      <c r="L129" s="271">
        <f>'Payroll Worksheet'!AJ21</f>
        <v>0</v>
      </c>
      <c r="M129" s="654">
        <f>'Payroll Worksheet'!AK21</f>
        <v>0</v>
      </c>
      <c r="N129" s="467">
        <f t="shared" si="27"/>
        <v>0</v>
      </c>
      <c r="O129" s="406">
        <v>0</v>
      </c>
      <c r="P129" s="271">
        <v>11652.939999999999</v>
      </c>
      <c r="Q129" s="274">
        <f>N129-P129</f>
        <v>-11652.939999999999</v>
      </c>
      <c r="R129" s="406">
        <v>0</v>
      </c>
      <c r="S129" s="398">
        <f t="shared" si="15"/>
        <v>0</v>
      </c>
      <c r="T129" s="500"/>
    </row>
    <row r="130" spans="1:41" s="267" customFormat="1" ht="13">
      <c r="A130" s="420" t="s">
        <v>213</v>
      </c>
      <c r="B130" s="713"/>
      <c r="C130" s="732"/>
      <c r="D130" s="271"/>
      <c r="E130" s="271"/>
      <c r="F130" s="271"/>
      <c r="G130" s="271"/>
      <c r="H130" s="271"/>
      <c r="I130" s="271"/>
      <c r="J130" s="271"/>
      <c r="K130" s="271"/>
      <c r="L130" s="271"/>
      <c r="M130" s="654"/>
      <c r="N130" s="467"/>
      <c r="O130" s="406"/>
      <c r="P130" s="271"/>
      <c r="Q130" s="274"/>
      <c r="R130" s="406"/>
      <c r="S130" s="398">
        <f t="shared" si="15"/>
        <v>0</v>
      </c>
      <c r="T130" s="500"/>
    </row>
    <row r="131" spans="1:41" s="267" customFormat="1" ht="13">
      <c r="A131" s="419" t="s">
        <v>214</v>
      </c>
      <c r="B131" s="724">
        <f t="shared" ref="B131:M131" si="28">SUM(B117:B130)</f>
        <v>39832</v>
      </c>
      <c r="C131" s="724">
        <f t="shared" si="28"/>
        <v>26883.5</v>
      </c>
      <c r="D131" s="469">
        <f t="shared" si="28"/>
        <v>27200</v>
      </c>
      <c r="E131" s="469">
        <f t="shared" si="28"/>
        <v>27200</v>
      </c>
      <c r="F131" s="469">
        <f t="shared" si="28"/>
        <v>27200</v>
      </c>
      <c r="G131" s="469">
        <f t="shared" si="28"/>
        <v>27200</v>
      </c>
      <c r="H131" s="469">
        <f t="shared" si="28"/>
        <v>23200</v>
      </c>
      <c r="I131" s="469">
        <f t="shared" si="28"/>
        <v>23200</v>
      </c>
      <c r="J131" s="469">
        <f t="shared" si="28"/>
        <v>23200</v>
      </c>
      <c r="K131" s="469">
        <f t="shared" si="28"/>
        <v>23200</v>
      </c>
      <c r="L131" s="469">
        <f t="shared" si="28"/>
        <v>23200</v>
      </c>
      <c r="M131" s="660">
        <f t="shared" si="28"/>
        <v>23200</v>
      </c>
      <c r="N131" s="467">
        <f>SUM(B131:M131)</f>
        <v>314715.5</v>
      </c>
      <c r="O131" s="406">
        <f>SUM(O117:O130)</f>
        <v>341900</v>
      </c>
      <c r="P131" s="276">
        <v>435205.91333333345</v>
      </c>
      <c r="Q131" s="276">
        <f>N131-P131</f>
        <v>-120490.41333333345</v>
      </c>
      <c r="R131" s="401">
        <f>SUM(R117:R130)</f>
        <v>656400</v>
      </c>
      <c r="S131" s="398">
        <f t="shared" si="15"/>
        <v>-314500</v>
      </c>
      <c r="T131" s="507"/>
    </row>
    <row r="132" spans="1:41" s="267" customFormat="1" ht="6" customHeight="1" thickBot="1">
      <c r="A132" s="419"/>
      <c r="B132" s="715"/>
      <c r="C132" s="715"/>
      <c r="D132" s="272"/>
      <c r="E132" s="272"/>
      <c r="F132" s="272"/>
      <c r="G132" s="272"/>
      <c r="H132" s="272"/>
      <c r="I132" s="272"/>
      <c r="J132" s="272"/>
      <c r="K132" s="272"/>
      <c r="L132" s="272"/>
      <c r="M132" s="656"/>
      <c r="N132" s="468"/>
      <c r="O132" s="397"/>
      <c r="P132" s="133"/>
      <c r="Q132" s="133"/>
      <c r="R132" s="397"/>
      <c r="S132" s="398">
        <f t="shared" si="15"/>
        <v>0</v>
      </c>
      <c r="T132" s="500"/>
    </row>
    <row r="133" spans="1:41" s="458" customFormat="1" ht="14" thickTop="1">
      <c r="A133" s="445" t="s">
        <v>107</v>
      </c>
      <c r="B133" s="725">
        <f t="shared" ref="B133:M133" si="29">B60+B76+B86+B108+B114+B131</f>
        <v>55478.240000000005</v>
      </c>
      <c r="C133" s="720">
        <f t="shared" si="29"/>
        <v>57507.97</v>
      </c>
      <c r="D133" s="446">
        <f t="shared" si="29"/>
        <v>49290</v>
      </c>
      <c r="E133" s="446">
        <f t="shared" si="29"/>
        <v>43705</v>
      </c>
      <c r="F133" s="446">
        <f t="shared" si="29"/>
        <v>39960</v>
      </c>
      <c r="G133" s="446">
        <f t="shared" si="29"/>
        <v>36110</v>
      </c>
      <c r="H133" s="446">
        <f t="shared" si="29"/>
        <v>32860</v>
      </c>
      <c r="I133" s="446">
        <f t="shared" si="29"/>
        <v>34360</v>
      </c>
      <c r="J133" s="446">
        <f t="shared" si="29"/>
        <v>36210</v>
      </c>
      <c r="K133" s="446">
        <f t="shared" si="29"/>
        <v>45360</v>
      </c>
      <c r="L133" s="446">
        <f t="shared" si="29"/>
        <v>35860</v>
      </c>
      <c r="M133" s="659">
        <f t="shared" si="29"/>
        <v>35110</v>
      </c>
      <c r="N133" s="647">
        <f>SUM(B133:M133)</f>
        <v>501811.21</v>
      </c>
      <c r="O133" s="455">
        <f>O60+O76+O86+O108+O114+O131</f>
        <v>760400</v>
      </c>
      <c r="P133" s="453">
        <v>791196.94333333336</v>
      </c>
      <c r="Q133" s="456">
        <f>N133-P133</f>
        <v>-289385.73333333334</v>
      </c>
      <c r="R133" s="455">
        <f>R60+R76+R86+R108+R114+R131</f>
        <v>1399300</v>
      </c>
      <c r="S133" s="398">
        <f t="shared" si="15"/>
        <v>-638900</v>
      </c>
      <c r="T133" s="508"/>
    </row>
    <row r="134" spans="1:41" s="368" customFormat="1" ht="13" thickBot="1">
      <c r="A134" s="419"/>
      <c r="B134" s="726"/>
      <c r="C134" s="726"/>
      <c r="D134" s="277"/>
      <c r="E134" s="277"/>
      <c r="F134" s="277"/>
      <c r="G134" s="277"/>
      <c r="H134" s="277"/>
      <c r="I134" s="277"/>
      <c r="J134" s="277"/>
      <c r="K134" s="277"/>
      <c r="L134" s="277"/>
      <c r="M134" s="662"/>
      <c r="N134" s="468"/>
      <c r="O134" s="397"/>
      <c r="P134" s="285"/>
      <c r="Q134" s="285"/>
      <c r="R134" s="397"/>
      <c r="S134" s="398">
        <f t="shared" ref="S134:S135" si="30">O134-R134</f>
        <v>0</v>
      </c>
      <c r="T134" s="502"/>
    </row>
    <row r="135" spans="1:41" s="466" customFormat="1" ht="14" thickBot="1">
      <c r="A135" s="459" t="s">
        <v>108</v>
      </c>
      <c r="B135" s="727">
        <f t="shared" ref="B135:O135" si="31">B48-B133</f>
        <v>6240.3799999999901</v>
      </c>
      <c r="C135" s="727">
        <f t="shared" si="31"/>
        <v>-37661.25</v>
      </c>
      <c r="D135" s="460" t="e">
        <f t="shared" si="31"/>
        <v>#REF!</v>
      </c>
      <c r="E135" s="460" t="e">
        <f t="shared" si="31"/>
        <v>#REF!</v>
      </c>
      <c r="F135" s="460" t="e">
        <f t="shared" si="31"/>
        <v>#REF!</v>
      </c>
      <c r="G135" s="460" t="e">
        <f t="shared" si="31"/>
        <v>#REF!</v>
      </c>
      <c r="H135" s="460" t="e">
        <f t="shared" si="31"/>
        <v>#REF!</v>
      </c>
      <c r="I135" s="460" t="e">
        <f t="shared" si="31"/>
        <v>#REF!</v>
      </c>
      <c r="J135" s="460" t="e">
        <f t="shared" si="31"/>
        <v>#REF!</v>
      </c>
      <c r="K135" s="460" t="e">
        <f t="shared" si="31"/>
        <v>#REF!</v>
      </c>
      <c r="L135" s="460" t="e">
        <f t="shared" si="31"/>
        <v>#REF!</v>
      </c>
      <c r="M135" s="663" t="e">
        <f t="shared" si="31"/>
        <v>#REF!</v>
      </c>
      <c r="N135" s="648" t="e">
        <f t="shared" si="31"/>
        <v>#REF!</v>
      </c>
      <c r="O135" s="463">
        <f t="shared" si="31"/>
        <v>-124800</v>
      </c>
      <c r="P135" s="460">
        <v>388579.43666666653</v>
      </c>
      <c r="Q135" s="464"/>
      <c r="R135" s="463">
        <f>R48-R133</f>
        <v>1072800</v>
      </c>
      <c r="S135" s="398">
        <f t="shared" si="30"/>
        <v>-1197600</v>
      </c>
      <c r="T135" s="509"/>
    </row>
    <row r="136" spans="1:41" s="267" customFormat="1" ht="12">
      <c r="A136" s="420"/>
      <c r="B136" s="712"/>
      <c r="C136" s="731"/>
      <c r="D136" s="270"/>
      <c r="E136" s="270"/>
      <c r="F136" s="270"/>
      <c r="G136" s="270"/>
      <c r="H136" s="270"/>
      <c r="I136" s="270"/>
      <c r="J136" s="270"/>
      <c r="K136" s="270"/>
      <c r="L136" s="270"/>
      <c r="M136" s="653"/>
      <c r="N136" s="468"/>
      <c r="O136" s="397"/>
      <c r="P136" s="133"/>
      <c r="Q136" s="133"/>
      <c r="R136" s="133"/>
      <c r="S136" s="394"/>
      <c r="T136" s="500"/>
    </row>
    <row r="137" spans="1:41" s="285" customFormat="1" ht="12">
      <c r="A137" s="427" t="s">
        <v>215</v>
      </c>
      <c r="B137" s="728">
        <v>172646.63</v>
      </c>
      <c r="C137" s="742">
        <f t="shared" ref="C137:M137" si="32">B139</f>
        <v>178887.01</v>
      </c>
      <c r="D137" s="371">
        <f t="shared" si="32"/>
        <v>141225.76</v>
      </c>
      <c r="E137" s="275" t="e">
        <f t="shared" si="32"/>
        <v>#REF!</v>
      </c>
      <c r="F137" s="275" t="e">
        <f t="shared" si="32"/>
        <v>#REF!</v>
      </c>
      <c r="G137" s="275" t="e">
        <f t="shared" si="32"/>
        <v>#REF!</v>
      </c>
      <c r="H137" s="275" t="e">
        <f t="shared" si="32"/>
        <v>#REF!</v>
      </c>
      <c r="I137" s="275" t="e">
        <f t="shared" si="32"/>
        <v>#REF!</v>
      </c>
      <c r="J137" s="275" t="e">
        <f t="shared" si="32"/>
        <v>#REF!</v>
      </c>
      <c r="K137" s="275" t="e">
        <f t="shared" si="32"/>
        <v>#REF!</v>
      </c>
      <c r="L137" s="275" t="e">
        <f t="shared" si="32"/>
        <v>#REF!</v>
      </c>
      <c r="M137" s="664" t="e">
        <f t="shared" si="32"/>
        <v>#REF!</v>
      </c>
      <c r="N137" s="468"/>
      <c r="O137" s="397"/>
      <c r="P137" s="275" t="e">
        <f>P124+#REF!+P70</f>
        <v>#REF!</v>
      </c>
      <c r="Q137" s="275"/>
      <c r="R137" s="275"/>
      <c r="S137" s="394"/>
      <c r="T137" s="510"/>
    </row>
    <row r="138" spans="1:41" s="267" customFormat="1" ht="12">
      <c r="A138" s="421"/>
      <c r="B138" s="722"/>
      <c r="C138" s="733"/>
      <c r="D138" s="371"/>
      <c r="E138" s="273"/>
      <c r="F138" s="273"/>
      <c r="G138" s="273"/>
      <c r="H138" s="273"/>
      <c r="I138" s="273"/>
      <c r="J138" s="273"/>
      <c r="K138" s="273"/>
      <c r="L138" s="273"/>
      <c r="M138" s="657"/>
      <c r="N138" s="468"/>
      <c r="O138" s="397"/>
      <c r="P138" s="133"/>
      <c r="Q138" s="133"/>
      <c r="R138" s="133"/>
      <c r="S138" s="394"/>
      <c r="T138" s="500"/>
    </row>
    <row r="139" spans="1:41" s="376" customFormat="1" ht="12">
      <c r="A139" s="428" t="s">
        <v>216</v>
      </c>
      <c r="B139" s="728">
        <f>B135+B137</f>
        <v>178887.01</v>
      </c>
      <c r="C139" s="742">
        <f t="shared" ref="C139:M139" si="33">C135+C137</f>
        <v>141225.76</v>
      </c>
      <c r="D139" s="375" t="e">
        <f t="shared" si="33"/>
        <v>#REF!</v>
      </c>
      <c r="E139" s="374" t="e">
        <f t="shared" si="33"/>
        <v>#REF!</v>
      </c>
      <c r="F139" s="374" t="e">
        <f t="shared" si="33"/>
        <v>#REF!</v>
      </c>
      <c r="G139" s="374" t="e">
        <f t="shared" si="33"/>
        <v>#REF!</v>
      </c>
      <c r="H139" s="374" t="e">
        <f t="shared" si="33"/>
        <v>#REF!</v>
      </c>
      <c r="I139" s="374" t="e">
        <f t="shared" si="33"/>
        <v>#REF!</v>
      </c>
      <c r="J139" s="374" t="e">
        <f t="shared" si="33"/>
        <v>#REF!</v>
      </c>
      <c r="K139" s="374" t="e">
        <f t="shared" si="33"/>
        <v>#REF!</v>
      </c>
      <c r="L139" s="374" t="e">
        <f t="shared" si="33"/>
        <v>#REF!</v>
      </c>
      <c r="M139" s="665" t="e">
        <f t="shared" si="33"/>
        <v>#REF!</v>
      </c>
      <c r="N139" s="468"/>
      <c r="O139" s="397"/>
      <c r="P139" s="373"/>
      <c r="Q139" s="373"/>
      <c r="R139" s="373"/>
      <c r="S139" s="394"/>
      <c r="T139" s="502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</row>
    <row r="140" spans="1:41" s="376" customFormat="1" ht="12">
      <c r="A140" s="427"/>
      <c r="B140" s="728"/>
      <c r="C140" s="742"/>
      <c r="D140" s="371"/>
      <c r="E140" s="275"/>
      <c r="F140" s="275"/>
      <c r="G140" s="275"/>
      <c r="H140" s="275"/>
      <c r="I140" s="275"/>
      <c r="J140" s="275"/>
      <c r="K140" s="275"/>
      <c r="L140" s="275"/>
      <c r="M140" s="664"/>
      <c r="N140" s="468"/>
      <c r="O140" s="397"/>
      <c r="P140" s="373"/>
      <c r="Q140" s="373"/>
      <c r="R140" s="373"/>
      <c r="S140" s="394"/>
      <c r="T140" s="502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</row>
    <row r="141" spans="1:41" s="267" customFormat="1" ht="26">
      <c r="A141" s="419" t="s">
        <v>217</v>
      </c>
      <c r="B141" s="729">
        <v>135576</v>
      </c>
      <c r="C141" s="743">
        <v>114996</v>
      </c>
      <c r="D141" s="371">
        <v>96766</v>
      </c>
      <c r="E141" s="269">
        <v>66136</v>
      </c>
      <c r="F141" s="269">
        <v>44906</v>
      </c>
      <c r="G141" s="269">
        <v>45996</v>
      </c>
      <c r="H141" s="269">
        <v>16710</v>
      </c>
      <c r="I141" s="269">
        <v>34713</v>
      </c>
      <c r="J141" s="269">
        <v>5992</v>
      </c>
      <c r="K141" s="269">
        <v>58073</v>
      </c>
      <c r="L141" s="269">
        <v>67637</v>
      </c>
      <c r="M141" s="666">
        <v>104489</v>
      </c>
      <c r="N141" s="649"/>
      <c r="O141" s="411"/>
      <c r="P141" s="133"/>
      <c r="Q141" s="133"/>
      <c r="R141" s="133"/>
      <c r="S141" s="394"/>
      <c r="T141" s="500"/>
    </row>
    <row r="142" spans="1:41">
      <c r="A142" s="417"/>
      <c r="B142" s="291"/>
      <c r="C142" s="291"/>
      <c r="D142" s="371"/>
      <c r="E142" s="301"/>
      <c r="F142" s="301"/>
      <c r="G142" s="301"/>
      <c r="H142" s="301"/>
      <c r="I142" s="301"/>
      <c r="J142" s="301"/>
      <c r="K142" s="301"/>
      <c r="L142" s="301"/>
      <c r="M142" s="667"/>
      <c r="N142" s="412"/>
      <c r="T142" s="501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</row>
    <row r="143" spans="1:41" ht="27">
      <c r="A143" s="419" t="s">
        <v>261</v>
      </c>
      <c r="B143" s="685"/>
      <c r="C143" s="685"/>
      <c r="D143" s="294"/>
      <c r="E143" s="294"/>
      <c r="F143" s="294"/>
      <c r="G143" s="294"/>
      <c r="H143" s="294"/>
      <c r="I143" s="294"/>
      <c r="J143" s="294"/>
      <c r="K143" s="294"/>
      <c r="L143" s="294"/>
      <c r="M143" s="650"/>
      <c r="N143" s="686"/>
      <c r="T143" s="501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</row>
    <row r="144" spans="1:41">
      <c r="A144" s="687">
        <v>100000</v>
      </c>
      <c r="B144" s="133"/>
      <c r="C144" s="133"/>
      <c r="D144" s="688"/>
      <c r="E144" s="688" t="e">
        <f>IF(E139,(100000-E139)/95)</f>
        <v>#REF!</v>
      </c>
      <c r="F144" s="688" t="e">
        <f>-F135/95</f>
        <v>#REF!</v>
      </c>
      <c r="G144" s="688"/>
      <c r="H144" s="688" t="e">
        <f t="shared" ref="H144:J144" si="34">-H135/95</f>
        <v>#REF!</v>
      </c>
      <c r="I144" s="688"/>
      <c r="J144" s="688" t="e">
        <f t="shared" si="34"/>
        <v>#REF!</v>
      </c>
      <c r="K144" s="688"/>
      <c r="L144" s="688"/>
      <c r="M144" s="650"/>
      <c r="N144" s="686" t="e">
        <f t="shared" ref="N144:N145" si="35">SUM(B144:M144)</f>
        <v>#REF!</v>
      </c>
      <c r="T144" s="501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</row>
    <row r="145" spans="1:41">
      <c r="A145" s="687">
        <v>200000</v>
      </c>
      <c r="B145" s="688">
        <f>(200000-B137-B135)/95</f>
        <v>222.24200000000005</v>
      </c>
      <c r="C145" s="688">
        <f>-C135/95</f>
        <v>396.43421052631578</v>
      </c>
      <c r="D145" s="688" t="e">
        <f t="shared" ref="D145:J145" si="36">-D135/95</f>
        <v>#REF!</v>
      </c>
      <c r="E145" s="688" t="e">
        <f t="shared" si="36"/>
        <v>#REF!</v>
      </c>
      <c r="F145" s="688" t="e">
        <f t="shared" si="36"/>
        <v>#REF!</v>
      </c>
      <c r="G145" s="688"/>
      <c r="H145" s="688" t="e">
        <f t="shared" si="36"/>
        <v>#REF!</v>
      </c>
      <c r="I145" s="688"/>
      <c r="J145" s="688" t="e">
        <f t="shared" si="36"/>
        <v>#REF!</v>
      </c>
      <c r="K145" s="688"/>
      <c r="L145" s="688"/>
      <c r="M145" s="689"/>
      <c r="N145" s="686" t="e">
        <f t="shared" si="35"/>
        <v>#REF!</v>
      </c>
      <c r="T145" s="501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3"/>
  <sheetViews>
    <sheetView topLeftCell="R1" zoomScale="130" zoomScaleNormal="130" zoomScalePageLayoutView="130" workbookViewId="0">
      <pane xSplit="1" ySplit="2" topLeftCell="S8" activePane="bottomRight" state="frozen"/>
      <selection pane="topRight" activeCell="S1" sqref="S1"/>
      <selection pane="bottomLeft" activeCell="R3" sqref="R3"/>
      <selection pane="bottomRight" activeCell="S15" sqref="S15"/>
    </sheetView>
  </sheetViews>
  <sheetFormatPr baseColWidth="10" defaultColWidth="8.83203125" defaultRowHeight="15"/>
  <cols>
    <col min="1" max="1" width="25.83203125" style="143" hidden="1" customWidth="1"/>
    <col min="2" max="2" width="12.1640625" style="143" hidden="1" customWidth="1"/>
    <col min="3" max="3" width="10.1640625" style="143" hidden="1" customWidth="1"/>
    <col min="4" max="16" width="10.33203125" style="143" hidden="1" customWidth="1"/>
    <col min="17" max="17" width="12" style="143" hidden="1" customWidth="1"/>
    <col min="18" max="18" width="32.1640625" style="280" customWidth="1"/>
    <col min="19" max="20" width="10.1640625" style="280" customWidth="1"/>
    <col min="21" max="21" width="10.1640625" style="143" bestFit="1" customWidth="1"/>
    <col min="22" max="23" width="8.83203125" style="143"/>
    <col min="24" max="26" width="9.1640625" style="143" bestFit="1" customWidth="1"/>
    <col min="27" max="32" width="8.83203125" style="143"/>
    <col min="33" max="33" width="11.6640625" style="143" customWidth="1"/>
    <col min="34" max="16384" width="8.83203125" style="143"/>
  </cols>
  <sheetData>
    <row r="1" spans="1:33" ht="21">
      <c r="A1" s="110" t="s">
        <v>299</v>
      </c>
      <c r="B1" s="103" t="s">
        <v>300</v>
      </c>
      <c r="C1" s="167">
        <v>2020</v>
      </c>
      <c r="D1" s="167">
        <v>2019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288"/>
      <c r="AB1" s="288"/>
      <c r="AC1" s="288"/>
      <c r="AD1" s="288"/>
      <c r="AE1" s="288"/>
      <c r="AF1" s="288"/>
      <c r="AG1" s="288"/>
    </row>
    <row r="2" spans="1:33" s="102" customFormat="1">
      <c r="D2" s="109"/>
      <c r="E2" s="109">
        <v>43466</v>
      </c>
      <c r="F2" s="109">
        <v>43497</v>
      </c>
      <c r="G2" s="109">
        <v>43525</v>
      </c>
      <c r="H2" s="109">
        <v>43556</v>
      </c>
      <c r="I2" s="109">
        <v>43586</v>
      </c>
      <c r="J2" s="109">
        <v>43617</v>
      </c>
      <c r="K2" s="109">
        <v>43647</v>
      </c>
      <c r="L2" s="109">
        <v>43678</v>
      </c>
      <c r="M2" s="109">
        <v>43709</v>
      </c>
      <c r="N2" s="109">
        <v>43739</v>
      </c>
      <c r="O2" s="109">
        <v>43770</v>
      </c>
      <c r="P2" s="109">
        <v>43800</v>
      </c>
      <c r="Q2" s="104" t="s">
        <v>301</v>
      </c>
      <c r="R2" s="281">
        <v>2021</v>
      </c>
      <c r="S2" s="104"/>
      <c r="T2" s="104"/>
      <c r="U2" s="109">
        <v>43831</v>
      </c>
      <c r="V2" s="109">
        <v>43862</v>
      </c>
      <c r="W2" s="109">
        <v>43891</v>
      </c>
      <c r="X2" s="109">
        <v>43922</v>
      </c>
      <c r="Y2" s="109">
        <v>43952</v>
      </c>
      <c r="Z2" s="109">
        <v>43983</v>
      </c>
      <c r="AA2" s="109">
        <v>44013</v>
      </c>
      <c r="AB2" s="109">
        <v>44044</v>
      </c>
      <c r="AC2" s="109">
        <v>44075</v>
      </c>
      <c r="AD2" s="109">
        <v>44105</v>
      </c>
      <c r="AE2" s="109">
        <v>44136</v>
      </c>
      <c r="AF2" s="109">
        <v>44166</v>
      </c>
      <c r="AG2" s="104" t="s">
        <v>302</v>
      </c>
    </row>
    <row r="3" spans="1:33">
      <c r="A3" s="3" t="s">
        <v>303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3" t="s">
        <v>303</v>
      </c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s="99" customFormat="1">
      <c r="A4" s="99" t="s">
        <v>304</v>
      </c>
      <c r="C4" s="99">
        <f>E4*1.03</f>
        <v>17905.056499999999</v>
      </c>
      <c r="E4" s="99">
        <v>17383.55</v>
      </c>
      <c r="F4" s="99">
        <v>17383.55</v>
      </c>
      <c r="G4" s="99">
        <v>17383.55</v>
      </c>
      <c r="H4" s="99">
        <v>17383.55</v>
      </c>
      <c r="I4" s="99">
        <v>17383.55</v>
      </c>
      <c r="J4" s="99">
        <v>17383.55</v>
      </c>
      <c r="K4" s="99">
        <v>17383.55</v>
      </c>
      <c r="L4" s="99">
        <v>17383.55</v>
      </c>
      <c r="M4" s="99">
        <v>17383.55</v>
      </c>
      <c r="N4" s="99">
        <v>17383.55</v>
      </c>
      <c r="O4" s="99">
        <v>17383.55</v>
      </c>
      <c r="P4" s="99">
        <v>17383.55</v>
      </c>
      <c r="Q4" s="99">
        <f>SUM(E4:P4)</f>
        <v>208602.59999999995</v>
      </c>
      <c r="R4" s="99" t="s">
        <v>304</v>
      </c>
      <c r="U4" s="99">
        <v>17843.3</v>
      </c>
      <c r="V4" s="99">
        <v>17843.3</v>
      </c>
      <c r="W4" s="99">
        <v>17843.3</v>
      </c>
      <c r="X4" s="99">
        <v>17843.3</v>
      </c>
      <c r="Y4" s="99">
        <v>17843.3</v>
      </c>
      <c r="Z4" s="99">
        <v>17843.3</v>
      </c>
      <c r="AA4" s="99">
        <v>17843.3</v>
      </c>
      <c r="AB4" s="99">
        <v>17843.3</v>
      </c>
      <c r="AC4" s="99">
        <v>17843.3</v>
      </c>
      <c r="AD4" s="99">
        <v>17843.3</v>
      </c>
      <c r="AE4" s="99">
        <v>17843.3</v>
      </c>
      <c r="AF4" s="99">
        <v>17843.3</v>
      </c>
      <c r="AG4" s="99">
        <f>SUM(U4:AF4)</f>
        <v>214119.59999999995</v>
      </c>
    </row>
    <row r="5" spans="1:33" s="100" customFormat="1">
      <c r="A5" s="100" t="s">
        <v>305</v>
      </c>
      <c r="C5" s="100">
        <f>SUM(C4:C4)</f>
        <v>17905.056499999999</v>
      </c>
      <c r="E5" s="100">
        <f t="shared" ref="E5:Q5" si="0">SUM(E4:E4)</f>
        <v>17383.55</v>
      </c>
      <c r="F5" s="100">
        <f t="shared" si="0"/>
        <v>17383.55</v>
      </c>
      <c r="G5" s="100">
        <f t="shared" si="0"/>
        <v>17383.55</v>
      </c>
      <c r="H5" s="100">
        <f t="shared" si="0"/>
        <v>17383.55</v>
      </c>
      <c r="I5" s="100">
        <f t="shared" si="0"/>
        <v>17383.55</v>
      </c>
      <c r="J5" s="100">
        <f t="shared" si="0"/>
        <v>17383.55</v>
      </c>
      <c r="K5" s="100">
        <f t="shared" si="0"/>
        <v>17383.55</v>
      </c>
      <c r="L5" s="100">
        <f t="shared" si="0"/>
        <v>17383.55</v>
      </c>
      <c r="M5" s="100">
        <f t="shared" si="0"/>
        <v>17383.55</v>
      </c>
      <c r="N5" s="100">
        <f t="shared" si="0"/>
        <v>17383.55</v>
      </c>
      <c r="O5" s="100">
        <f t="shared" si="0"/>
        <v>17383.55</v>
      </c>
      <c r="P5" s="100">
        <f t="shared" si="0"/>
        <v>17383.55</v>
      </c>
      <c r="Q5" s="100">
        <f t="shared" si="0"/>
        <v>208602.59999999995</v>
      </c>
      <c r="R5" s="100" t="s">
        <v>305</v>
      </c>
      <c r="U5" s="100">
        <f t="shared" ref="U5:AG5" si="1">SUM(U4:U4)</f>
        <v>17843.3</v>
      </c>
      <c r="V5" s="100">
        <f t="shared" si="1"/>
        <v>17843.3</v>
      </c>
      <c r="W5" s="100">
        <f t="shared" si="1"/>
        <v>17843.3</v>
      </c>
      <c r="X5" s="100">
        <f t="shared" si="1"/>
        <v>17843.3</v>
      </c>
      <c r="Y5" s="100">
        <f t="shared" si="1"/>
        <v>17843.3</v>
      </c>
      <c r="Z5" s="100">
        <f t="shared" si="1"/>
        <v>17843.3</v>
      </c>
      <c r="AA5" s="100">
        <f t="shared" si="1"/>
        <v>17843.3</v>
      </c>
      <c r="AB5" s="100">
        <f t="shared" si="1"/>
        <v>17843.3</v>
      </c>
      <c r="AC5" s="100">
        <f t="shared" si="1"/>
        <v>17843.3</v>
      </c>
      <c r="AD5" s="100">
        <f t="shared" si="1"/>
        <v>17843.3</v>
      </c>
      <c r="AE5" s="100">
        <f t="shared" si="1"/>
        <v>17843.3</v>
      </c>
      <c r="AF5" s="100">
        <f t="shared" si="1"/>
        <v>17843.3</v>
      </c>
      <c r="AG5" s="100">
        <f t="shared" si="1"/>
        <v>214119.59999999995</v>
      </c>
    </row>
    <row r="6" spans="1:33">
      <c r="A6" s="28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28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</row>
    <row r="7" spans="1:33">
      <c r="A7" s="3" t="s">
        <v>306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3" t="s">
        <v>306</v>
      </c>
      <c r="S7" s="283" t="s">
        <v>307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s="99" customFormat="1">
      <c r="A8" s="99" t="s">
        <v>308</v>
      </c>
      <c r="B8" s="99" t="s">
        <v>309</v>
      </c>
      <c r="D8" s="169" t="s">
        <v>310</v>
      </c>
      <c r="E8" s="99">
        <f>4*20*26</f>
        <v>2080</v>
      </c>
      <c r="F8" s="99">
        <f>4*20*26</f>
        <v>2080</v>
      </c>
      <c r="G8" s="99">
        <f>4*20*26</f>
        <v>2080</v>
      </c>
      <c r="H8" s="99">
        <f>4*10*26</f>
        <v>1040</v>
      </c>
      <c r="I8" s="99">
        <f t="shared" ref="I8:P8" si="2">4*10*26</f>
        <v>1040</v>
      </c>
      <c r="J8" s="99">
        <f t="shared" si="2"/>
        <v>1040</v>
      </c>
      <c r="L8" s="99">
        <f t="shared" si="2"/>
        <v>1040</v>
      </c>
      <c r="M8" s="99">
        <f t="shared" si="2"/>
        <v>1040</v>
      </c>
      <c r="N8" s="99">
        <f t="shared" si="2"/>
        <v>1040</v>
      </c>
      <c r="O8" s="99">
        <f t="shared" si="2"/>
        <v>1040</v>
      </c>
      <c r="P8" s="99">
        <f t="shared" si="2"/>
        <v>1040</v>
      </c>
      <c r="Q8" s="99">
        <f>SUM(E8:P8)</f>
        <v>14560</v>
      </c>
      <c r="R8" s="99" t="s">
        <v>311</v>
      </c>
      <c r="S8" s="472">
        <v>150000</v>
      </c>
      <c r="T8" s="99" t="s">
        <v>312</v>
      </c>
      <c r="U8" s="99">
        <f>$S8/12</f>
        <v>12500</v>
      </c>
      <c r="V8" s="99">
        <f t="shared" ref="V8:AF8" si="3">$S8/12</f>
        <v>12500</v>
      </c>
      <c r="W8" s="99">
        <f t="shared" si="3"/>
        <v>12500</v>
      </c>
      <c r="X8" s="99">
        <f t="shared" si="3"/>
        <v>12500</v>
      </c>
      <c r="Y8" s="99">
        <f t="shared" si="3"/>
        <v>12500</v>
      </c>
      <c r="Z8" s="99">
        <f t="shared" si="3"/>
        <v>12500</v>
      </c>
      <c r="AA8" s="99">
        <f t="shared" si="3"/>
        <v>12500</v>
      </c>
      <c r="AB8" s="99">
        <f t="shared" si="3"/>
        <v>12500</v>
      </c>
      <c r="AC8" s="99">
        <f t="shared" si="3"/>
        <v>12500</v>
      </c>
      <c r="AD8" s="99">
        <f t="shared" si="3"/>
        <v>12500</v>
      </c>
      <c r="AE8" s="99">
        <f t="shared" si="3"/>
        <v>12500</v>
      </c>
      <c r="AF8" s="99">
        <f t="shared" si="3"/>
        <v>12500</v>
      </c>
      <c r="AG8" s="99">
        <f t="shared" ref="AG8:AG16" si="4">SUM(U8:AF8)</f>
        <v>150000</v>
      </c>
    </row>
    <row r="9" spans="1:33">
      <c r="A9" s="5" t="s">
        <v>313</v>
      </c>
      <c r="B9" s="98" t="s">
        <v>314</v>
      </c>
      <c r="C9" s="98"/>
      <c r="D9" s="98">
        <f>2860*12</f>
        <v>34320</v>
      </c>
      <c r="E9" s="98">
        <f>$D$9/12</f>
        <v>2860</v>
      </c>
      <c r="F9" s="98">
        <f>$D$9/12</f>
        <v>2860</v>
      </c>
      <c r="G9" s="98">
        <f>$D$9/12</f>
        <v>2860</v>
      </c>
      <c r="H9" s="98">
        <f>$D$9/12</f>
        <v>2860</v>
      </c>
      <c r="I9" s="98">
        <f>$D$9/12</f>
        <v>2860</v>
      </c>
      <c r="J9" s="98"/>
      <c r="K9" s="98"/>
      <c r="L9" s="98"/>
      <c r="M9" s="98"/>
      <c r="N9" s="98"/>
      <c r="O9" s="98"/>
      <c r="P9" s="98"/>
      <c r="Q9" s="98"/>
      <c r="R9" s="99" t="s">
        <v>315</v>
      </c>
      <c r="S9" s="114">
        <v>30</v>
      </c>
      <c r="T9" s="99" t="s">
        <v>316</v>
      </c>
      <c r="U9" s="99">
        <f>$S9*12*52/12</f>
        <v>1560</v>
      </c>
      <c r="V9" s="99">
        <f t="shared" ref="V9:AF9" si="5">$S9*12*52/12</f>
        <v>1560</v>
      </c>
      <c r="W9" s="99">
        <f t="shared" si="5"/>
        <v>1560</v>
      </c>
      <c r="X9" s="99">
        <f t="shared" si="5"/>
        <v>1560</v>
      </c>
      <c r="Y9" s="99">
        <f t="shared" si="5"/>
        <v>1560</v>
      </c>
      <c r="Z9" s="99">
        <f t="shared" si="5"/>
        <v>1560</v>
      </c>
      <c r="AA9" s="99">
        <f t="shared" si="5"/>
        <v>1560</v>
      </c>
      <c r="AB9" s="99">
        <f t="shared" si="5"/>
        <v>1560</v>
      </c>
      <c r="AC9" s="99">
        <f t="shared" si="5"/>
        <v>1560</v>
      </c>
      <c r="AD9" s="99">
        <f t="shared" si="5"/>
        <v>1560</v>
      </c>
      <c r="AE9" s="99">
        <f t="shared" si="5"/>
        <v>1560</v>
      </c>
      <c r="AF9" s="99">
        <f t="shared" si="5"/>
        <v>1560</v>
      </c>
      <c r="AG9" s="99">
        <f t="shared" si="4"/>
        <v>18720</v>
      </c>
    </row>
    <row r="10" spans="1:33" s="181" customFormat="1">
      <c r="A10" s="5" t="s">
        <v>317</v>
      </c>
      <c r="B10" s="98" t="s">
        <v>318</v>
      </c>
      <c r="C10" s="98">
        <v>21.53</v>
      </c>
      <c r="D10" s="98">
        <f>40*C10*50</f>
        <v>43060</v>
      </c>
      <c r="E10" s="98"/>
      <c r="F10" s="98"/>
      <c r="G10" s="98"/>
      <c r="H10" s="98"/>
      <c r="I10" s="98"/>
      <c r="J10" s="98"/>
      <c r="K10" s="98"/>
      <c r="L10" s="98">
        <f>D10/12/4</f>
        <v>897.08333333333337</v>
      </c>
      <c r="M10" s="98">
        <f>$D10/24</f>
        <v>1794.1666666666667</v>
      </c>
      <c r="N10" s="98">
        <f>$D10/12</f>
        <v>3588.3333333333335</v>
      </c>
      <c r="O10" s="98">
        <f>$D10/12</f>
        <v>3588.3333333333335</v>
      </c>
      <c r="P10" s="98">
        <f>$D10/12</f>
        <v>3588.3333333333335</v>
      </c>
      <c r="Q10" s="98">
        <f>SUM(E10:P10)</f>
        <v>13456.250000000002</v>
      </c>
      <c r="R10" s="5" t="s">
        <v>319</v>
      </c>
      <c r="S10" s="114">
        <v>18</v>
      </c>
      <c r="T10" s="98" t="s">
        <v>316</v>
      </c>
      <c r="U10" s="99">
        <v>2250</v>
      </c>
      <c r="V10" s="99">
        <v>2250</v>
      </c>
      <c r="W10" s="99">
        <v>2250</v>
      </c>
      <c r="X10" s="99">
        <f>30*50*$S10/12</f>
        <v>2250</v>
      </c>
      <c r="Y10" s="99">
        <f t="shared" ref="Y10:AF10" si="6">30*50*$S10/12</f>
        <v>2250</v>
      </c>
      <c r="Z10" s="99">
        <f t="shared" si="6"/>
        <v>2250</v>
      </c>
      <c r="AA10" s="99">
        <f t="shared" si="6"/>
        <v>2250</v>
      </c>
      <c r="AB10" s="99">
        <f t="shared" si="6"/>
        <v>2250</v>
      </c>
      <c r="AC10" s="99">
        <f t="shared" si="6"/>
        <v>2250</v>
      </c>
      <c r="AD10" s="99">
        <f t="shared" si="6"/>
        <v>2250</v>
      </c>
      <c r="AE10" s="99">
        <f t="shared" si="6"/>
        <v>2250</v>
      </c>
      <c r="AF10" s="99">
        <f t="shared" si="6"/>
        <v>2250</v>
      </c>
      <c r="AG10" s="99">
        <f t="shared" si="4"/>
        <v>27000</v>
      </c>
    </row>
    <row r="11" spans="1:33" s="183" customFormat="1">
      <c r="A11" s="5" t="s">
        <v>320</v>
      </c>
      <c r="B11" s="98" t="s">
        <v>321</v>
      </c>
      <c r="C11" s="98">
        <v>18</v>
      </c>
      <c r="D11" s="98">
        <f>40*C11*50</f>
        <v>36000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5" t="s">
        <v>322</v>
      </c>
      <c r="S11" s="114">
        <v>500</v>
      </c>
      <c r="T11" s="98" t="s">
        <v>323</v>
      </c>
      <c r="U11" s="99">
        <v>500</v>
      </c>
      <c r="V11" s="99">
        <v>500</v>
      </c>
      <c r="W11" s="99">
        <v>500</v>
      </c>
      <c r="X11" s="99">
        <v>500</v>
      </c>
      <c r="Y11" s="99">
        <v>500</v>
      </c>
      <c r="Z11" s="99">
        <v>500</v>
      </c>
      <c r="AA11" s="99">
        <v>500</v>
      </c>
      <c r="AB11" s="99">
        <v>500</v>
      </c>
      <c r="AC11" s="99">
        <v>500</v>
      </c>
      <c r="AD11" s="99">
        <v>500</v>
      </c>
      <c r="AE11" s="99">
        <v>500</v>
      </c>
      <c r="AF11" s="99">
        <v>500</v>
      </c>
      <c r="AG11" s="99">
        <f t="shared" si="4"/>
        <v>6000</v>
      </c>
    </row>
    <row r="12" spans="1:33" s="181" customFormat="1">
      <c r="A12" s="5" t="s">
        <v>324</v>
      </c>
      <c r="B12" s="98" t="s">
        <v>321</v>
      </c>
      <c r="C12" s="98">
        <v>18</v>
      </c>
      <c r="D12" s="98">
        <f>20*C12*50</f>
        <v>18000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>
        <f>SUM(E12:P12)</f>
        <v>0</v>
      </c>
      <c r="R12" s="5" t="s">
        <v>325</v>
      </c>
      <c r="S12" s="114">
        <v>18</v>
      </c>
      <c r="T12" s="98" t="s">
        <v>316</v>
      </c>
      <c r="U12" s="99">
        <f>$S12*20*52/12</f>
        <v>1560</v>
      </c>
      <c r="V12" s="99">
        <f t="shared" ref="V12:AF12" si="7">$S12*40*52/12</f>
        <v>3120</v>
      </c>
      <c r="W12" s="99">
        <f t="shared" si="7"/>
        <v>3120</v>
      </c>
      <c r="X12" s="99">
        <f t="shared" si="7"/>
        <v>3120</v>
      </c>
      <c r="Y12" s="99">
        <f t="shared" si="7"/>
        <v>3120</v>
      </c>
      <c r="Z12" s="99">
        <f t="shared" si="7"/>
        <v>3120</v>
      </c>
      <c r="AA12" s="99">
        <f t="shared" si="7"/>
        <v>3120</v>
      </c>
      <c r="AB12" s="99">
        <f t="shared" si="7"/>
        <v>3120</v>
      </c>
      <c r="AC12" s="99">
        <f t="shared" si="7"/>
        <v>3120</v>
      </c>
      <c r="AD12" s="99">
        <f t="shared" si="7"/>
        <v>3120</v>
      </c>
      <c r="AE12" s="99">
        <f t="shared" si="7"/>
        <v>3120</v>
      </c>
      <c r="AF12" s="99">
        <f t="shared" si="7"/>
        <v>3120</v>
      </c>
      <c r="AG12" s="99">
        <f t="shared" si="4"/>
        <v>35880</v>
      </c>
    </row>
    <row r="13" spans="1:33" s="182" customFormat="1">
      <c r="A13" s="5" t="s">
        <v>326</v>
      </c>
      <c r="B13" s="98" t="s">
        <v>327</v>
      </c>
      <c r="C13" s="98">
        <v>18</v>
      </c>
      <c r="D13" s="98">
        <f>10*C13*50</f>
        <v>9000</v>
      </c>
      <c r="E13" s="98"/>
      <c r="F13" s="98"/>
      <c r="G13" s="98"/>
      <c r="H13" s="98"/>
      <c r="I13" s="98"/>
      <c r="J13" s="98">
        <f>$D13/12</f>
        <v>750</v>
      </c>
      <c r="K13" s="98">
        <f>$D13/12</f>
        <v>750</v>
      </c>
      <c r="L13" s="98">
        <f>$D13/12</f>
        <v>750</v>
      </c>
      <c r="M13" s="98"/>
      <c r="N13" s="98"/>
      <c r="O13" s="98"/>
      <c r="P13" s="98"/>
      <c r="Q13" s="98"/>
      <c r="R13" s="5" t="s">
        <v>328</v>
      </c>
      <c r="S13" s="98">
        <v>18</v>
      </c>
      <c r="T13" s="98" t="s">
        <v>316</v>
      </c>
      <c r="U13" s="99">
        <v>2250</v>
      </c>
      <c r="V13" s="99">
        <v>2250</v>
      </c>
      <c r="W13" s="99">
        <v>2250</v>
      </c>
      <c r="X13" s="99">
        <v>2250</v>
      </c>
      <c r="Y13" s="99">
        <v>2250</v>
      </c>
      <c r="Z13" s="99">
        <v>2250</v>
      </c>
      <c r="AA13" s="99">
        <v>2250</v>
      </c>
      <c r="AB13" s="99">
        <v>2250</v>
      </c>
      <c r="AC13" s="99">
        <v>2250</v>
      </c>
      <c r="AD13" s="99">
        <v>2250</v>
      </c>
      <c r="AE13" s="99">
        <v>2250</v>
      </c>
      <c r="AF13" s="99">
        <v>2250</v>
      </c>
      <c r="AG13" s="98">
        <f t="shared" si="4"/>
        <v>27000</v>
      </c>
    </row>
    <row r="14" spans="1:33">
      <c r="A14" s="5" t="s">
        <v>329</v>
      </c>
      <c r="B14" s="98"/>
      <c r="C14" s="98"/>
      <c r="D14" s="98"/>
      <c r="E14" s="98">
        <v>300</v>
      </c>
      <c r="F14" s="98">
        <v>300</v>
      </c>
      <c r="G14" s="98">
        <v>300</v>
      </c>
      <c r="H14" s="98">
        <v>300</v>
      </c>
      <c r="I14" s="98">
        <v>300</v>
      </c>
      <c r="J14" s="98">
        <v>300</v>
      </c>
      <c r="K14" s="98">
        <v>300</v>
      </c>
      <c r="L14" s="98">
        <v>300</v>
      </c>
      <c r="M14" s="98">
        <v>300</v>
      </c>
      <c r="N14" s="98">
        <v>300</v>
      </c>
      <c r="O14" s="98">
        <v>300</v>
      </c>
      <c r="P14" s="98">
        <v>300</v>
      </c>
      <c r="Q14" s="98">
        <f>SUM(E14:P14)</f>
        <v>3600</v>
      </c>
      <c r="R14" s="5" t="s">
        <v>330</v>
      </c>
      <c r="S14" s="114">
        <v>77000</v>
      </c>
      <c r="T14" s="98" t="s">
        <v>312</v>
      </c>
      <c r="U14" s="471">
        <f>$S14/12</f>
        <v>6416.666666666667</v>
      </c>
      <c r="V14" s="471">
        <f t="shared" ref="V14:AF15" si="8">$S14/12</f>
        <v>6416.666666666667</v>
      </c>
      <c r="W14" s="471">
        <f t="shared" si="8"/>
        <v>6416.666666666667</v>
      </c>
      <c r="X14" s="471">
        <f t="shared" si="8"/>
        <v>6416.666666666667</v>
      </c>
      <c r="Y14" s="471">
        <f t="shared" si="8"/>
        <v>6416.666666666667</v>
      </c>
      <c r="Z14" s="471">
        <f t="shared" si="8"/>
        <v>6416.666666666667</v>
      </c>
      <c r="AA14" s="471">
        <f t="shared" si="8"/>
        <v>6416.666666666667</v>
      </c>
      <c r="AB14" s="471">
        <f t="shared" si="8"/>
        <v>6416.666666666667</v>
      </c>
      <c r="AC14" s="471">
        <f t="shared" si="8"/>
        <v>6416.666666666667</v>
      </c>
      <c r="AD14" s="471">
        <f t="shared" si="8"/>
        <v>6416.666666666667</v>
      </c>
      <c r="AE14" s="471">
        <f t="shared" si="8"/>
        <v>6416.666666666667</v>
      </c>
      <c r="AF14" s="471">
        <f t="shared" si="8"/>
        <v>6416.666666666667</v>
      </c>
      <c r="AG14" s="471">
        <f t="shared" si="4"/>
        <v>77000</v>
      </c>
    </row>
    <row r="15" spans="1:33">
      <c r="A15" s="5" t="s">
        <v>331</v>
      </c>
      <c r="B15" s="105">
        <v>1500</v>
      </c>
      <c r="C15" s="98"/>
      <c r="D15" s="107"/>
      <c r="E15" s="105">
        <v>500</v>
      </c>
      <c r="F15" s="105">
        <v>500</v>
      </c>
      <c r="G15" s="105">
        <v>500</v>
      </c>
      <c r="H15" s="105">
        <v>500</v>
      </c>
      <c r="I15" s="105">
        <v>500</v>
      </c>
      <c r="J15" s="105"/>
      <c r="K15" s="105"/>
      <c r="L15" s="105"/>
      <c r="M15" s="105"/>
      <c r="N15" s="105"/>
      <c r="O15" s="105"/>
      <c r="P15" s="105"/>
      <c r="Q15" s="105">
        <f>SUM(E15:P15)</f>
        <v>2500</v>
      </c>
      <c r="R15" s="5" t="s">
        <v>332</v>
      </c>
      <c r="S15" s="282">
        <v>36000</v>
      </c>
      <c r="T15" s="105" t="s">
        <v>333</v>
      </c>
      <c r="U15" s="282">
        <f>$S15/12</f>
        <v>3000</v>
      </c>
      <c r="V15" s="282">
        <f t="shared" si="8"/>
        <v>3000</v>
      </c>
      <c r="W15" s="282">
        <f t="shared" si="8"/>
        <v>3000</v>
      </c>
      <c r="X15" s="282">
        <f t="shared" si="8"/>
        <v>3000</v>
      </c>
      <c r="Y15" s="282">
        <f t="shared" si="8"/>
        <v>3000</v>
      </c>
      <c r="Z15" s="282">
        <f t="shared" si="8"/>
        <v>3000</v>
      </c>
      <c r="AA15" s="282">
        <f t="shared" si="8"/>
        <v>3000</v>
      </c>
      <c r="AB15" s="282">
        <f t="shared" si="8"/>
        <v>3000</v>
      </c>
      <c r="AC15" s="282">
        <f t="shared" si="8"/>
        <v>3000</v>
      </c>
      <c r="AD15" s="282">
        <f t="shared" si="8"/>
        <v>3000</v>
      </c>
      <c r="AE15" s="282">
        <f t="shared" si="8"/>
        <v>3000</v>
      </c>
      <c r="AF15" s="282">
        <f t="shared" si="8"/>
        <v>3000</v>
      </c>
      <c r="AG15" s="105">
        <f t="shared" si="4"/>
        <v>36000</v>
      </c>
    </row>
    <row r="16" spans="1:33" s="100" customFormat="1">
      <c r="A16" s="100" t="s">
        <v>334</v>
      </c>
      <c r="B16" s="100">
        <f>SUM(B8:B15)</f>
        <v>1500</v>
      </c>
      <c r="E16" s="100">
        <f t="shared" ref="E16:Q16" si="9">SUM(E8:E15)</f>
        <v>5740</v>
      </c>
      <c r="F16" s="100">
        <f t="shared" si="9"/>
        <v>5740</v>
      </c>
      <c r="G16" s="100">
        <f t="shared" si="9"/>
        <v>5740</v>
      </c>
      <c r="H16" s="100">
        <f t="shared" si="9"/>
        <v>4700</v>
      </c>
      <c r="I16" s="100">
        <f t="shared" si="9"/>
        <v>4700</v>
      </c>
      <c r="J16" s="100">
        <f t="shared" si="9"/>
        <v>2090</v>
      </c>
      <c r="K16" s="100">
        <f t="shared" si="9"/>
        <v>1050</v>
      </c>
      <c r="L16" s="100">
        <f t="shared" si="9"/>
        <v>2987.0833333333335</v>
      </c>
      <c r="M16" s="100">
        <f t="shared" si="9"/>
        <v>3134.166666666667</v>
      </c>
      <c r="N16" s="100">
        <f t="shared" si="9"/>
        <v>4928.3333333333339</v>
      </c>
      <c r="O16" s="100">
        <f t="shared" si="9"/>
        <v>4928.3333333333339</v>
      </c>
      <c r="P16" s="100">
        <f t="shared" si="9"/>
        <v>4928.3333333333339</v>
      </c>
      <c r="Q16" s="100">
        <f t="shared" si="9"/>
        <v>34116.25</v>
      </c>
      <c r="R16" s="100" t="s">
        <v>334</v>
      </c>
      <c r="U16" s="100">
        <f>SUM(U8:U15)</f>
        <v>30036.666666666668</v>
      </c>
      <c r="V16" s="100">
        <f t="shared" ref="V16:AF16" si="10">SUM(V8:V15)</f>
        <v>31596.666666666668</v>
      </c>
      <c r="W16" s="100">
        <f t="shared" si="10"/>
        <v>31596.666666666668</v>
      </c>
      <c r="X16" s="100">
        <f t="shared" si="10"/>
        <v>31596.666666666668</v>
      </c>
      <c r="Y16" s="100">
        <f t="shared" si="10"/>
        <v>31596.666666666668</v>
      </c>
      <c r="Z16" s="100">
        <f t="shared" si="10"/>
        <v>31596.666666666668</v>
      </c>
      <c r="AA16" s="100">
        <f t="shared" si="10"/>
        <v>31596.666666666668</v>
      </c>
      <c r="AB16" s="100">
        <f t="shared" si="10"/>
        <v>31596.666666666668</v>
      </c>
      <c r="AC16" s="100">
        <f t="shared" si="10"/>
        <v>31596.666666666668</v>
      </c>
      <c r="AD16" s="100">
        <f t="shared" si="10"/>
        <v>31596.666666666668</v>
      </c>
      <c r="AE16" s="100">
        <f t="shared" si="10"/>
        <v>31596.666666666668</v>
      </c>
      <c r="AF16" s="100">
        <f t="shared" si="10"/>
        <v>31596.666666666668</v>
      </c>
      <c r="AG16" s="100">
        <f t="shared" si="4"/>
        <v>377600.00000000006</v>
      </c>
    </row>
    <row r="17" spans="1:33">
      <c r="A17" s="28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28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>
      <c r="A18" s="3" t="s">
        <v>335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3" t="s">
        <v>335</v>
      </c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s="99" customFormat="1">
      <c r="A19" s="99" t="s">
        <v>336</v>
      </c>
      <c r="B19" s="99">
        <f>35000/12</f>
        <v>2916.6666666666665</v>
      </c>
      <c r="D19" s="125" t="s">
        <v>337</v>
      </c>
      <c r="E19" s="99">
        <f>$B$19</f>
        <v>2916.6666666666665</v>
      </c>
      <c r="F19" s="99">
        <f>$B$19</f>
        <v>2916.6666666666665</v>
      </c>
      <c r="G19" s="99">
        <f>$B$19</f>
        <v>2916.6666666666665</v>
      </c>
      <c r="H19" s="99">
        <f>$B$19</f>
        <v>2916.6666666666665</v>
      </c>
      <c r="I19" s="99">
        <v>0</v>
      </c>
      <c r="J19" s="99">
        <v>0</v>
      </c>
      <c r="K19" s="99">
        <v>0</v>
      </c>
      <c r="Q19" s="99">
        <f>SUM(E19:P19)</f>
        <v>11666.666666666666</v>
      </c>
    </row>
    <row r="20" spans="1:33">
      <c r="A20" s="288"/>
      <c r="B20" s="105"/>
      <c r="C20" s="98"/>
      <c r="D20" s="168"/>
      <c r="E20" s="105">
        <f>$D$20/12</f>
        <v>0</v>
      </c>
      <c r="F20" s="105">
        <f t="shared" ref="F20:O20" si="11">$D$20/12</f>
        <v>0</v>
      </c>
      <c r="G20" s="105">
        <f t="shared" si="11"/>
        <v>0</v>
      </c>
      <c r="H20" s="105">
        <f t="shared" si="11"/>
        <v>0</v>
      </c>
      <c r="I20" s="105">
        <f t="shared" si="11"/>
        <v>0</v>
      </c>
      <c r="J20" s="105">
        <f t="shared" si="11"/>
        <v>0</v>
      </c>
      <c r="K20" s="105">
        <f t="shared" si="11"/>
        <v>0</v>
      </c>
      <c r="L20" s="105">
        <f t="shared" si="11"/>
        <v>0</v>
      </c>
      <c r="M20" s="105">
        <f t="shared" si="11"/>
        <v>0</v>
      </c>
      <c r="N20" s="105">
        <f t="shared" si="11"/>
        <v>0</v>
      </c>
      <c r="O20" s="105">
        <f t="shared" si="11"/>
        <v>0</v>
      </c>
      <c r="P20" s="105">
        <f>$D$20/12</f>
        <v>0</v>
      </c>
      <c r="Q20" s="105">
        <f>SUM(E20:P20)</f>
        <v>0</v>
      </c>
      <c r="R20" s="288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</row>
    <row r="21" spans="1:33" s="100" customFormat="1">
      <c r="A21" s="100" t="s">
        <v>338</v>
      </c>
      <c r="B21" s="100">
        <f>SUM(B19:B20)</f>
        <v>2916.6666666666665</v>
      </c>
      <c r="E21" s="100">
        <f t="shared" ref="E21:P21" si="12">SUM(E19:E20)</f>
        <v>2916.6666666666665</v>
      </c>
      <c r="F21" s="100">
        <f t="shared" si="12"/>
        <v>2916.6666666666665</v>
      </c>
      <c r="G21" s="100">
        <f t="shared" si="12"/>
        <v>2916.6666666666665</v>
      </c>
      <c r="H21" s="100">
        <f t="shared" si="12"/>
        <v>2916.6666666666665</v>
      </c>
      <c r="I21" s="100">
        <f t="shared" si="12"/>
        <v>0</v>
      </c>
      <c r="J21" s="100">
        <f t="shared" si="12"/>
        <v>0</v>
      </c>
      <c r="K21" s="100">
        <f t="shared" si="12"/>
        <v>0</v>
      </c>
      <c r="L21" s="100">
        <f t="shared" si="12"/>
        <v>0</v>
      </c>
      <c r="M21" s="100">
        <f t="shared" si="12"/>
        <v>0</v>
      </c>
      <c r="N21" s="100">
        <f t="shared" si="12"/>
        <v>0</v>
      </c>
      <c r="O21" s="100">
        <f t="shared" si="12"/>
        <v>0</v>
      </c>
      <c r="P21" s="100">
        <f t="shared" si="12"/>
        <v>0</v>
      </c>
      <c r="Q21" s="100">
        <f>SUM(Q19:Q20)</f>
        <v>11666.666666666666</v>
      </c>
      <c r="R21" s="100" t="s">
        <v>338</v>
      </c>
      <c r="U21" s="100">
        <f t="shared" ref="U21:AF21" si="13">SUM(U19:U20)</f>
        <v>0</v>
      </c>
      <c r="V21" s="100">
        <f t="shared" si="13"/>
        <v>0</v>
      </c>
      <c r="W21" s="100">
        <f t="shared" si="13"/>
        <v>0</v>
      </c>
      <c r="X21" s="100">
        <f t="shared" si="13"/>
        <v>0</v>
      </c>
      <c r="Y21" s="100">
        <f t="shared" si="13"/>
        <v>0</v>
      </c>
      <c r="Z21" s="100">
        <f t="shared" si="13"/>
        <v>0</v>
      </c>
      <c r="AA21" s="100">
        <f t="shared" si="13"/>
        <v>0</v>
      </c>
      <c r="AB21" s="100">
        <f t="shared" si="13"/>
        <v>0</v>
      </c>
      <c r="AC21" s="100">
        <f t="shared" si="13"/>
        <v>0</v>
      </c>
      <c r="AD21" s="100">
        <f t="shared" si="13"/>
        <v>0</v>
      </c>
      <c r="AE21" s="100">
        <f t="shared" si="13"/>
        <v>0</v>
      </c>
      <c r="AF21" s="100">
        <f t="shared" si="13"/>
        <v>0</v>
      </c>
      <c r="AG21" s="100">
        <f>SUM(AG19:AG20)</f>
        <v>0</v>
      </c>
    </row>
    <row r="22" spans="1:33">
      <c r="A22" s="28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28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s="3" customFormat="1">
      <c r="A23" s="3" t="s">
        <v>339</v>
      </c>
      <c r="B23" s="103">
        <f>B21*0.0765</f>
        <v>223.12499999999997</v>
      </c>
      <c r="C23" s="103"/>
      <c r="D23" s="103"/>
      <c r="E23" s="103">
        <f t="shared" ref="E23:P23" si="14">E21*0.0765</f>
        <v>223.12499999999997</v>
      </c>
      <c r="F23" s="103">
        <f t="shared" si="14"/>
        <v>223.12499999999997</v>
      </c>
      <c r="G23" s="103">
        <f t="shared" si="14"/>
        <v>223.12499999999997</v>
      </c>
      <c r="H23" s="103">
        <f t="shared" si="14"/>
        <v>223.12499999999997</v>
      </c>
      <c r="I23" s="103">
        <f t="shared" si="14"/>
        <v>0</v>
      </c>
      <c r="J23" s="103">
        <f t="shared" si="14"/>
        <v>0</v>
      </c>
      <c r="K23" s="103">
        <f t="shared" si="14"/>
        <v>0</v>
      </c>
      <c r="L23" s="103">
        <f t="shared" si="14"/>
        <v>0</v>
      </c>
      <c r="M23" s="103">
        <f t="shared" si="14"/>
        <v>0</v>
      </c>
      <c r="N23" s="103">
        <f t="shared" si="14"/>
        <v>0</v>
      </c>
      <c r="O23" s="103">
        <f t="shared" si="14"/>
        <v>0</v>
      </c>
      <c r="P23" s="103">
        <f t="shared" si="14"/>
        <v>0</v>
      </c>
      <c r="Q23" s="103">
        <f>Q21*0.0765</f>
        <v>892.49999999999989</v>
      </c>
      <c r="R23" s="3" t="s">
        <v>339</v>
      </c>
      <c r="S23" s="103"/>
      <c r="T23" s="103"/>
      <c r="U23" s="103">
        <f t="shared" ref="U23:AF23" si="15">U21*0.0765</f>
        <v>0</v>
      </c>
      <c r="V23" s="103">
        <f t="shared" si="15"/>
        <v>0</v>
      </c>
      <c r="W23" s="103">
        <f t="shared" si="15"/>
        <v>0</v>
      </c>
      <c r="X23" s="103">
        <f t="shared" si="15"/>
        <v>0</v>
      </c>
      <c r="Y23" s="103">
        <f t="shared" si="15"/>
        <v>0</v>
      </c>
      <c r="Z23" s="103">
        <f t="shared" si="15"/>
        <v>0</v>
      </c>
      <c r="AA23" s="103">
        <f t="shared" si="15"/>
        <v>0</v>
      </c>
      <c r="AB23" s="103">
        <f t="shared" si="15"/>
        <v>0</v>
      </c>
      <c r="AC23" s="103">
        <f t="shared" si="15"/>
        <v>0</v>
      </c>
      <c r="AD23" s="103">
        <f t="shared" si="15"/>
        <v>0</v>
      </c>
      <c r="AE23" s="103">
        <f t="shared" si="15"/>
        <v>0</v>
      </c>
      <c r="AF23" s="103">
        <f t="shared" si="15"/>
        <v>0</v>
      </c>
      <c r="AG23" s="103">
        <f>AG21*0.0765</f>
        <v>0</v>
      </c>
    </row>
    <row r="24" spans="1:33">
      <c r="A24" s="288"/>
      <c r="B24" s="105"/>
      <c r="C24" s="98"/>
      <c r="D24" s="107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288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1:33" s="100" customFormat="1" ht="16" thickBot="1">
      <c r="A25" s="100" t="s">
        <v>340</v>
      </c>
      <c r="B25" s="106">
        <f>B5+B16+B21+B23</f>
        <v>4639.7916666666661</v>
      </c>
      <c r="D25" s="108"/>
      <c r="E25" s="106">
        <f t="shared" ref="E25:Q25" si="16">E5+E16+E21+E23</f>
        <v>26263.341666666667</v>
      </c>
      <c r="F25" s="106">
        <f t="shared" si="16"/>
        <v>26263.341666666667</v>
      </c>
      <c r="G25" s="106">
        <f t="shared" si="16"/>
        <v>26263.341666666667</v>
      </c>
      <c r="H25" s="106">
        <f t="shared" si="16"/>
        <v>25223.341666666667</v>
      </c>
      <c r="I25" s="106">
        <f t="shared" si="16"/>
        <v>22083.55</v>
      </c>
      <c r="J25" s="106">
        <f t="shared" si="16"/>
        <v>19473.55</v>
      </c>
      <c r="K25" s="106">
        <f t="shared" si="16"/>
        <v>18433.55</v>
      </c>
      <c r="L25" s="106">
        <f t="shared" si="16"/>
        <v>20370.633333333331</v>
      </c>
      <c r="M25" s="106">
        <f t="shared" si="16"/>
        <v>20517.716666666667</v>
      </c>
      <c r="N25" s="106">
        <f t="shared" si="16"/>
        <v>22311.883333333331</v>
      </c>
      <c r="O25" s="106">
        <f t="shared" si="16"/>
        <v>22311.883333333331</v>
      </c>
      <c r="P25" s="106">
        <f t="shared" si="16"/>
        <v>22311.883333333331</v>
      </c>
      <c r="Q25" s="106">
        <f t="shared" si="16"/>
        <v>255278.0166666666</v>
      </c>
      <c r="R25" s="100" t="s">
        <v>340</v>
      </c>
      <c r="S25" s="106"/>
      <c r="T25" s="106"/>
      <c r="U25" s="106">
        <f t="shared" ref="U25:AG25" si="17">U5+U16+U21+U23</f>
        <v>47879.966666666667</v>
      </c>
      <c r="V25" s="106">
        <f t="shared" si="17"/>
        <v>49439.966666666667</v>
      </c>
      <c r="W25" s="106">
        <f t="shared" si="17"/>
        <v>49439.966666666667</v>
      </c>
      <c r="X25" s="106">
        <f t="shared" si="17"/>
        <v>49439.966666666667</v>
      </c>
      <c r="Y25" s="106">
        <f t="shared" si="17"/>
        <v>49439.966666666667</v>
      </c>
      <c r="Z25" s="106">
        <f t="shared" si="17"/>
        <v>49439.966666666667</v>
      </c>
      <c r="AA25" s="106">
        <f t="shared" si="17"/>
        <v>49439.966666666667</v>
      </c>
      <c r="AB25" s="106">
        <f t="shared" si="17"/>
        <v>49439.966666666667</v>
      </c>
      <c r="AC25" s="106">
        <f t="shared" si="17"/>
        <v>49439.966666666667</v>
      </c>
      <c r="AD25" s="106">
        <f t="shared" si="17"/>
        <v>49439.966666666667</v>
      </c>
      <c r="AE25" s="106">
        <f t="shared" si="17"/>
        <v>49439.966666666667</v>
      </c>
      <c r="AF25" s="106">
        <f t="shared" si="17"/>
        <v>49439.966666666667</v>
      </c>
      <c r="AG25" s="106">
        <f t="shared" si="17"/>
        <v>591719.6</v>
      </c>
    </row>
    <row r="26" spans="1:33" ht="16" thickTop="1">
      <c r="A26" s="28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288"/>
      <c r="AB26" s="288"/>
      <c r="AC26" s="288"/>
      <c r="AD26" s="288"/>
      <c r="AE26" s="288"/>
      <c r="AF26" s="288"/>
      <c r="AG26" s="288"/>
    </row>
    <row r="27" spans="1:33">
      <c r="A27" s="288"/>
      <c r="B27" s="98"/>
      <c r="C27" s="98" t="s">
        <v>341</v>
      </c>
      <c r="D27" s="98" t="s">
        <v>342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288"/>
      <c r="AB27" s="288"/>
      <c r="AC27" s="288"/>
      <c r="AD27" s="288"/>
      <c r="AE27" s="288"/>
      <c r="AF27" s="288"/>
      <c r="AG27" s="288"/>
    </row>
    <row r="28" spans="1:33">
      <c r="A28" s="288"/>
      <c r="B28" s="288" t="s">
        <v>343</v>
      </c>
      <c r="C28" s="288">
        <v>27</v>
      </c>
      <c r="D28" s="288">
        <f>(12*C28*50)/12</f>
        <v>1350</v>
      </c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</row>
    <row r="29" spans="1:33">
      <c r="A29" s="288"/>
      <c r="B29" s="288" t="s">
        <v>344</v>
      </c>
      <c r="C29" s="288">
        <v>24</v>
      </c>
      <c r="D29" s="288">
        <f>(40*C29*50)/12</f>
        <v>4000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</row>
    <row r="30" spans="1:33">
      <c r="A30" s="288"/>
      <c r="B30" s="288" t="s">
        <v>345</v>
      </c>
      <c r="C30" s="288"/>
      <c r="D30" s="288">
        <v>500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</row>
    <row r="31" spans="1:33">
      <c r="A31" s="288"/>
      <c r="B31" s="288" t="s">
        <v>346</v>
      </c>
      <c r="C31" s="288">
        <v>20</v>
      </c>
      <c r="D31" s="279">
        <f>(40*C31*50)/12</f>
        <v>3333.3333333333335</v>
      </c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</row>
    <row r="32" spans="1:33">
      <c r="A32" s="288"/>
      <c r="B32" s="288" t="s">
        <v>347</v>
      </c>
      <c r="C32" s="288"/>
      <c r="D32" s="288">
        <f>75000/12</f>
        <v>6250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</row>
    <row r="33" spans="2:4">
      <c r="B33" s="288"/>
      <c r="C33" s="288"/>
      <c r="D33" s="279">
        <f>SUM(D28:D32)</f>
        <v>15433.333333333334</v>
      </c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F193-6D65-0643-9644-4974F48EB2A4}">
  <dimension ref="A1:H34"/>
  <sheetViews>
    <sheetView zoomScale="180" zoomScaleNormal="180" workbookViewId="0">
      <selection activeCell="C15" sqref="C15"/>
    </sheetView>
  </sheetViews>
  <sheetFormatPr baseColWidth="10" defaultColWidth="12.83203125" defaultRowHeight="15"/>
  <cols>
    <col min="1" max="1" width="4.6640625" style="231" customWidth="1"/>
    <col min="2" max="2" width="31.1640625" style="232" customWidth="1"/>
    <col min="3" max="3" width="13.83203125" style="231" customWidth="1"/>
    <col min="4" max="5" width="12.83203125" style="231"/>
    <col min="6" max="6" width="20.33203125" style="231" customWidth="1"/>
    <col min="7" max="7" width="12.83203125" style="231"/>
    <col min="8" max="8" width="16.83203125" style="231" customWidth="1"/>
    <col min="9" max="16384" width="12.83203125" style="231"/>
  </cols>
  <sheetData>
    <row r="1" spans="1:8" s="264" customFormat="1" ht="34">
      <c r="B1" s="265"/>
      <c r="C1" s="264" t="s">
        <v>348</v>
      </c>
      <c r="D1" s="264" t="s">
        <v>349</v>
      </c>
    </row>
    <row r="2" spans="1:8" ht="20">
      <c r="A2" s="263"/>
      <c r="B2" s="262" t="s">
        <v>218</v>
      </c>
      <c r="C2" s="261"/>
      <c r="D2" s="261"/>
      <c r="F2" s="260" t="s">
        <v>350</v>
      </c>
      <c r="G2" s="234" t="s">
        <v>351</v>
      </c>
      <c r="H2" s="234"/>
    </row>
    <row r="3" spans="1:8">
      <c r="A3" s="259"/>
      <c r="B3" s="241" t="s">
        <v>352</v>
      </c>
      <c r="C3" s="257">
        <v>19</v>
      </c>
      <c r="D3" s="257">
        <v>49</v>
      </c>
      <c r="E3" s="246" t="s">
        <v>353</v>
      </c>
      <c r="F3" s="258">
        <v>50</v>
      </c>
      <c r="G3" s="247">
        <v>4</v>
      </c>
    </row>
    <row r="4" spans="1:8">
      <c r="B4" s="241" t="s">
        <v>354</v>
      </c>
      <c r="C4" s="257">
        <v>199</v>
      </c>
      <c r="D4" s="257"/>
      <c r="E4" s="246" t="s">
        <v>355</v>
      </c>
      <c r="F4" s="258">
        <v>25</v>
      </c>
      <c r="G4" s="247">
        <v>2</v>
      </c>
    </row>
    <row r="5" spans="1:8">
      <c r="B5" s="241" t="s">
        <v>356</v>
      </c>
      <c r="C5" s="257"/>
      <c r="D5" s="257"/>
      <c r="E5" s="246" t="s">
        <v>357</v>
      </c>
      <c r="F5" s="258"/>
      <c r="G5" s="247"/>
      <c r="H5" s="255"/>
    </row>
    <row r="6" spans="1:8" s="255" customFormat="1" ht="16">
      <c r="B6" s="232" t="s">
        <v>358</v>
      </c>
      <c r="C6" s="257">
        <f>'Coaching Charge'!C3</f>
        <v>325</v>
      </c>
      <c r="D6" s="257"/>
      <c r="E6" s="246" t="s">
        <v>359</v>
      </c>
      <c r="F6" s="256">
        <f>((F3*$C$3)+(F4*$C$4)+(F5*D3))*12</f>
        <v>71100</v>
      </c>
      <c r="G6" s="251"/>
      <c r="H6" s="234"/>
    </row>
    <row r="7" spans="1:8" s="234" customFormat="1" ht="16">
      <c r="A7" s="255"/>
      <c r="B7" s="232" t="s">
        <v>360</v>
      </c>
      <c r="C7" s="257">
        <v>199</v>
      </c>
      <c r="D7" s="257"/>
      <c r="E7" s="246" t="s">
        <v>361</v>
      </c>
      <c r="F7" s="256">
        <f>((F3*G13)+(F4*G14))</f>
        <v>-2475</v>
      </c>
      <c r="G7" s="251"/>
      <c r="H7" s="231"/>
    </row>
    <row r="8" spans="1:8" ht="16">
      <c r="A8" s="255"/>
      <c r="C8" s="254"/>
      <c r="D8" s="254"/>
      <c r="E8" s="253" t="s">
        <v>362</v>
      </c>
      <c r="F8" s="252">
        <f>($C$24*12)</f>
        <v>-90000</v>
      </c>
      <c r="G8" s="251"/>
    </row>
    <row r="9" spans="1:8" ht="17" customHeight="1">
      <c r="A9" s="236"/>
      <c r="B9" s="250" t="s">
        <v>363</v>
      </c>
      <c r="C9" s="249"/>
      <c r="D9" s="249"/>
      <c r="E9" s="245" t="s">
        <v>364</v>
      </c>
      <c r="F9" s="248">
        <f>SUM(F6:F8)</f>
        <v>-21375</v>
      </c>
      <c r="H9" s="234"/>
    </row>
    <row r="10" spans="1:8" ht="17" customHeight="1">
      <c r="A10" s="795" t="s">
        <v>365</v>
      </c>
      <c r="B10" s="232" t="s">
        <v>366</v>
      </c>
      <c r="C10" s="240">
        <f>-C32</f>
        <v>-99</v>
      </c>
      <c r="D10" s="239"/>
      <c r="E10" s="234"/>
      <c r="F10" s="234"/>
      <c r="G10" s="234"/>
      <c r="H10" s="247"/>
    </row>
    <row r="11" spans="1:8" ht="17" customHeight="1">
      <c r="A11" s="796"/>
      <c r="B11" s="232" t="s">
        <v>367</v>
      </c>
      <c r="C11" s="240">
        <v>-175</v>
      </c>
      <c r="D11" s="239"/>
      <c r="E11" s="246"/>
      <c r="F11" s="247"/>
      <c r="G11" s="234"/>
      <c r="H11" s="234"/>
    </row>
    <row r="12" spans="1:8" ht="16" customHeight="1">
      <c r="A12" s="796"/>
      <c r="B12" s="232" t="s">
        <v>368</v>
      </c>
      <c r="C12" s="240">
        <v>-50</v>
      </c>
      <c r="D12" s="239"/>
      <c r="E12" s="246"/>
      <c r="F12" s="245" t="s">
        <v>369</v>
      </c>
      <c r="G12" s="247"/>
      <c r="H12" s="234"/>
    </row>
    <row r="13" spans="1:8" ht="16" customHeight="1">
      <c r="A13" s="796"/>
      <c r="B13" s="232" t="s">
        <v>370</v>
      </c>
      <c r="C13" s="240">
        <v>-75</v>
      </c>
      <c r="D13" s="239"/>
      <c r="E13" s="246"/>
      <c r="F13" s="245" t="s">
        <v>371</v>
      </c>
      <c r="G13" s="234">
        <v>0</v>
      </c>
      <c r="H13" s="234"/>
    </row>
    <row r="14" spans="1:8" ht="16" customHeight="1">
      <c r="A14" s="796"/>
      <c r="B14" s="232" t="s">
        <v>372</v>
      </c>
      <c r="C14" s="240">
        <v>-2500</v>
      </c>
      <c r="D14" s="239"/>
      <c r="E14" s="245"/>
      <c r="F14" s="245" t="s">
        <v>373</v>
      </c>
      <c r="G14" s="234">
        <f>C10</f>
        <v>-99</v>
      </c>
    </row>
    <row r="15" spans="1:8" ht="16" customHeight="1">
      <c r="A15" s="796"/>
      <c r="B15" s="232" t="s">
        <v>374</v>
      </c>
      <c r="C15" s="240">
        <v>-500</v>
      </c>
      <c r="D15" s="239"/>
      <c r="G15" s="234">
        <f>C11</f>
        <v>-175</v>
      </c>
    </row>
    <row r="16" spans="1:8">
      <c r="A16" s="797"/>
      <c r="B16" s="231"/>
      <c r="C16" s="239"/>
      <c r="D16" s="239"/>
    </row>
    <row r="17" spans="1:6" ht="16">
      <c r="A17" s="244"/>
      <c r="B17" s="243"/>
      <c r="C17" s="242" t="s">
        <v>375</v>
      </c>
      <c r="D17" s="242" t="s">
        <v>376</v>
      </c>
    </row>
    <row r="18" spans="1:6">
      <c r="A18" s="798" t="s">
        <v>377</v>
      </c>
      <c r="B18" s="231" t="s">
        <v>378</v>
      </c>
      <c r="C18" s="240">
        <v>-1500</v>
      </c>
      <c r="D18" s="240">
        <v>-2500</v>
      </c>
      <c r="F18" s="231">
        <v>1999</v>
      </c>
    </row>
    <row r="19" spans="1:6">
      <c r="A19" s="799"/>
      <c r="B19" s="241" t="s">
        <v>379</v>
      </c>
      <c r="C19" s="240">
        <v>-2000</v>
      </c>
      <c r="D19" s="240">
        <v>-2500</v>
      </c>
      <c r="F19" s="231">
        <v>2999</v>
      </c>
    </row>
    <row r="20" spans="1:6">
      <c r="A20" s="799"/>
      <c r="B20" s="231" t="s">
        <v>380</v>
      </c>
      <c r="C20" s="240">
        <v>-4000</v>
      </c>
      <c r="D20" s="240">
        <v>-4500</v>
      </c>
    </row>
    <row r="21" spans="1:6">
      <c r="A21" s="799"/>
      <c r="B21" s="241"/>
      <c r="C21" s="240"/>
      <c r="D21" s="239"/>
    </row>
    <row r="22" spans="1:6">
      <c r="A22" s="799"/>
      <c r="B22" s="241" t="s">
        <v>381</v>
      </c>
      <c r="C22" s="240"/>
      <c r="D22" s="239">
        <v>-2500</v>
      </c>
    </row>
    <row r="23" spans="1:6">
      <c r="A23" s="800"/>
      <c r="C23" s="239"/>
      <c r="D23" s="239"/>
    </row>
    <row r="24" spans="1:6" ht="17">
      <c r="A24" s="238"/>
      <c r="B24" s="237" t="s">
        <v>382</v>
      </c>
      <c r="C24" s="236">
        <f>SUM(C18:C23)</f>
        <v>-7500</v>
      </c>
      <c r="D24" s="235">
        <f>SUM(D18:D23)</f>
        <v>-12000</v>
      </c>
    </row>
    <row r="26" spans="1:6" ht="32">
      <c r="B26" s="232" t="s">
        <v>383</v>
      </c>
    </row>
    <row r="27" spans="1:6">
      <c r="B27" s="231"/>
    </row>
    <row r="28" spans="1:6">
      <c r="B28" s="231" t="s">
        <v>384</v>
      </c>
      <c r="E28" s="246" t="s">
        <v>385</v>
      </c>
      <c r="F28" s="266">
        <v>600</v>
      </c>
    </row>
    <row r="29" spans="1:6" ht="16">
      <c r="B29" s="232" t="s">
        <v>386</v>
      </c>
      <c r="C29" s="231">
        <v>0</v>
      </c>
      <c r="E29" s="234"/>
    </row>
    <row r="30" spans="1:6" ht="16">
      <c r="B30" s="232" t="s">
        <v>387</v>
      </c>
      <c r="C30" s="231">
        <v>99</v>
      </c>
    </row>
    <row r="32" spans="1:6" ht="16">
      <c r="B32" s="233" t="s">
        <v>388</v>
      </c>
      <c r="C32" s="231">
        <v>99</v>
      </c>
    </row>
    <row r="33" spans="2:3" ht="16">
      <c r="B33" s="232" t="s">
        <v>389</v>
      </c>
      <c r="C33" s="231">
        <v>250</v>
      </c>
    </row>
    <row r="34" spans="2:3" ht="16">
      <c r="B34" s="232" t="s">
        <v>390</v>
      </c>
      <c r="C34" s="231">
        <v>250</v>
      </c>
    </row>
  </sheetData>
  <mergeCells count="2">
    <mergeCell ref="A10:A16"/>
    <mergeCell ref="A18:A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C83F-BFD5-5A45-B5FE-532FDC4CF186}">
  <dimension ref="A1:I27"/>
  <sheetViews>
    <sheetView topLeftCell="A5" zoomScale="140" zoomScaleNormal="140" workbookViewId="0">
      <selection activeCell="E25" sqref="E25"/>
    </sheetView>
  </sheetViews>
  <sheetFormatPr baseColWidth="10" defaultColWidth="12.83203125" defaultRowHeight="15"/>
  <cols>
    <col min="1" max="1" width="4.6640625" style="171" customWidth="1"/>
    <col min="2" max="2" width="29.6640625" style="196" customWidth="1"/>
    <col min="3" max="16384" width="12.83203125" style="171"/>
  </cols>
  <sheetData>
    <row r="1" spans="1:9" s="184" customFormat="1" ht="34">
      <c r="B1" s="185"/>
      <c r="C1" s="186" t="s">
        <v>391</v>
      </c>
      <c r="D1" s="186" t="s">
        <v>392</v>
      </c>
      <c r="E1" s="186" t="s">
        <v>393</v>
      </c>
    </row>
    <row r="2" spans="1:9" ht="20">
      <c r="A2" s="187"/>
      <c r="B2" s="188" t="s">
        <v>218</v>
      </c>
      <c r="C2" s="189"/>
      <c r="D2" s="189"/>
      <c r="E2" s="189"/>
      <c r="H2" s="184" t="s">
        <v>350</v>
      </c>
    </row>
    <row r="3" spans="1:9">
      <c r="A3" s="190"/>
      <c r="B3" s="191" t="s">
        <v>394</v>
      </c>
      <c r="C3" s="192">
        <f>4*C22+D4</f>
        <v>199</v>
      </c>
      <c r="D3" s="192"/>
      <c r="E3" s="192">
        <v>79</v>
      </c>
      <c r="F3" s="193" t="s">
        <v>395</v>
      </c>
      <c r="G3" s="194">
        <v>1</v>
      </c>
      <c r="H3" s="194">
        <v>18</v>
      </c>
      <c r="I3" s="194">
        <v>50</v>
      </c>
    </row>
    <row r="4" spans="1:9" ht="16">
      <c r="B4" s="191" t="s">
        <v>396</v>
      </c>
      <c r="C4" s="192"/>
      <c r="D4" s="192">
        <f>C23</f>
        <v>199</v>
      </c>
      <c r="E4" s="192"/>
      <c r="F4" s="193" t="s">
        <v>359</v>
      </c>
      <c r="G4" s="195">
        <f>(G3*$C3)+(G3*$D4*11)</f>
        <v>2388</v>
      </c>
      <c r="H4" s="195">
        <f>(H3*$C3)+(H3*$D4*11)</f>
        <v>42984</v>
      </c>
      <c r="I4" s="195">
        <f>(I3*$C3)+(I3*$D4*11)</f>
        <v>119400</v>
      </c>
    </row>
    <row r="5" spans="1:9">
      <c r="C5" s="192"/>
      <c r="D5" s="192"/>
      <c r="E5" s="192"/>
      <c r="F5" s="193" t="s">
        <v>397</v>
      </c>
      <c r="G5" s="197">
        <f>(G3*$D9)+($C19*12)</f>
        <v>-84000</v>
      </c>
      <c r="H5" s="197">
        <f>(H3*$D9)+($C19*12)</f>
        <v>-84000</v>
      </c>
      <c r="I5" s="197">
        <f>(I3*$D9)+($D19*12)</f>
        <v>-102000</v>
      </c>
    </row>
    <row r="6" spans="1:9" s="195" customFormat="1" ht="16">
      <c r="A6" s="171"/>
      <c r="B6" s="196" t="s">
        <v>358</v>
      </c>
      <c r="C6" s="192"/>
      <c r="D6" s="192">
        <v>299</v>
      </c>
      <c r="E6" s="192"/>
      <c r="F6" s="198" t="s">
        <v>364</v>
      </c>
      <c r="G6" s="195">
        <f>G4+G5</f>
        <v>-81612</v>
      </c>
      <c r="H6" s="195">
        <f>H4+H5</f>
        <v>-41016</v>
      </c>
      <c r="I6" s="195">
        <f>I4+I5</f>
        <v>17400</v>
      </c>
    </row>
    <row r="7" spans="1:9" ht="16">
      <c r="B7" s="196" t="s">
        <v>398</v>
      </c>
      <c r="C7" s="192">
        <v>199</v>
      </c>
      <c r="D7" s="192"/>
      <c r="E7" s="192"/>
    </row>
    <row r="8" spans="1:9" ht="35">
      <c r="A8" s="199"/>
      <c r="B8" s="200" t="s">
        <v>363</v>
      </c>
      <c r="C8" s="201" t="s">
        <v>399</v>
      </c>
      <c r="D8" s="201"/>
      <c r="E8" s="201"/>
      <c r="F8" s="193" t="s">
        <v>395</v>
      </c>
      <c r="G8" s="171">
        <v>100</v>
      </c>
      <c r="H8" s="171">
        <v>200</v>
      </c>
      <c r="I8" s="171">
        <v>300</v>
      </c>
    </row>
    <row r="9" spans="1:9" ht="16">
      <c r="A9" s="801" t="s">
        <v>365</v>
      </c>
      <c r="B9" s="196" t="s">
        <v>366</v>
      </c>
      <c r="C9" s="202">
        <f>-99</f>
        <v>-99</v>
      </c>
      <c r="D9" s="202">
        <f>-4*C25</f>
        <v>0</v>
      </c>
      <c r="E9" s="202"/>
      <c r="F9" s="193" t="s">
        <v>359</v>
      </c>
      <c r="G9" s="195">
        <f>(G8*$C3)+(G8*$D4*11)</f>
        <v>238800</v>
      </c>
      <c r="H9" s="195">
        <f>(H8*$C3)+(H8*$D4*11)</f>
        <v>477600</v>
      </c>
      <c r="I9" s="195">
        <f>(I8*$C3)+(I8*$D4*11)</f>
        <v>716400</v>
      </c>
    </row>
    <row r="10" spans="1:9" ht="17" customHeight="1">
      <c r="A10" s="802"/>
      <c r="B10" s="196" t="s">
        <v>400</v>
      </c>
      <c r="C10" s="202"/>
      <c r="D10" s="203">
        <v>-250</v>
      </c>
      <c r="E10" s="202"/>
      <c r="F10" s="193" t="s">
        <v>397</v>
      </c>
      <c r="G10" s="197">
        <f>(G8*$D9)+($E19*12)</f>
        <v>-150000</v>
      </c>
      <c r="H10" s="197">
        <f>(H8*$D9)+($E19*12)</f>
        <v>-150000</v>
      </c>
      <c r="I10" s="197">
        <f>(I8*$D9)+($E19*12)</f>
        <v>-150000</v>
      </c>
    </row>
    <row r="11" spans="1:9" ht="16">
      <c r="A11" s="803"/>
      <c r="B11" s="171"/>
      <c r="C11" s="202"/>
      <c r="D11" s="202"/>
      <c r="E11" s="202"/>
      <c r="F11" s="198" t="s">
        <v>364</v>
      </c>
      <c r="G11" s="171">
        <f>G9+G10</f>
        <v>88800</v>
      </c>
      <c r="H11" s="171">
        <f>H9+H10</f>
        <v>327600</v>
      </c>
      <c r="I11" s="171">
        <f>I9+I10</f>
        <v>566400</v>
      </c>
    </row>
    <row r="12" spans="1:9" ht="16">
      <c r="A12" s="204"/>
      <c r="B12" s="205"/>
      <c r="C12" s="206" t="s">
        <v>401</v>
      </c>
      <c r="D12" s="206" t="s">
        <v>402</v>
      </c>
      <c r="E12" s="206" t="s">
        <v>403</v>
      </c>
      <c r="F12" s="195"/>
    </row>
    <row r="13" spans="1:9" ht="16" customHeight="1">
      <c r="A13" s="801" t="s">
        <v>377</v>
      </c>
      <c r="B13" s="191" t="s">
        <v>378</v>
      </c>
      <c r="C13" s="207">
        <f>-4*C27</f>
        <v>-1000</v>
      </c>
      <c r="D13" s="202">
        <f>-8*C27</f>
        <v>-2000</v>
      </c>
      <c r="E13" s="202">
        <f>-10*C27</f>
        <v>-2500</v>
      </c>
    </row>
    <row r="14" spans="1:9" ht="16" customHeight="1">
      <c r="A14" s="802"/>
      <c r="B14" s="191" t="s">
        <v>379</v>
      </c>
      <c r="C14" s="207">
        <v>-2000</v>
      </c>
      <c r="D14" s="202">
        <v>-2500</v>
      </c>
      <c r="E14" s="202">
        <v>-3000</v>
      </c>
    </row>
    <row r="15" spans="1:9">
      <c r="A15" s="802"/>
      <c r="B15" s="171" t="s">
        <v>380</v>
      </c>
      <c r="C15" s="202">
        <v>-4000</v>
      </c>
      <c r="D15" s="202">
        <v>-4000</v>
      </c>
      <c r="E15" s="202">
        <v>-4500</v>
      </c>
    </row>
    <row r="16" spans="1:9">
      <c r="A16" s="802"/>
      <c r="C16" s="207"/>
      <c r="D16" s="202"/>
      <c r="E16" s="202"/>
    </row>
    <row r="17" spans="1:6" ht="16">
      <c r="A17" s="802"/>
      <c r="B17" s="196" t="s">
        <v>381</v>
      </c>
      <c r="C17" s="207"/>
      <c r="D17" s="207"/>
      <c r="E17" s="202">
        <v>-2500</v>
      </c>
    </row>
    <row r="18" spans="1:6">
      <c r="A18" s="803"/>
      <c r="C18" s="202"/>
      <c r="D18" s="202"/>
      <c r="E18" s="202"/>
    </row>
    <row r="19" spans="1:6" ht="17">
      <c r="A19" s="208"/>
      <c r="B19" s="209" t="s">
        <v>382</v>
      </c>
      <c r="C19" s="199">
        <f>SUM(C13:C18)</f>
        <v>-7000</v>
      </c>
      <c r="D19" s="210">
        <f>SUM(D13:D18)</f>
        <v>-8500</v>
      </c>
      <c r="E19" s="210">
        <f>SUM(E13:E18)</f>
        <v>-12500</v>
      </c>
    </row>
    <row r="21" spans="1:6" ht="19">
      <c r="B21" s="211" t="s">
        <v>384</v>
      </c>
      <c r="D21" s="171" t="s">
        <v>404</v>
      </c>
      <c r="F21" s="194">
        <v>600</v>
      </c>
    </row>
    <row r="22" spans="1:6" ht="16">
      <c r="B22" s="196" t="s">
        <v>386</v>
      </c>
      <c r="C22" s="171">
        <v>0</v>
      </c>
    </row>
    <row r="23" spans="1:6" ht="16">
      <c r="B23" s="196" t="s">
        <v>405</v>
      </c>
      <c r="C23" s="171">
        <v>199</v>
      </c>
      <c r="D23" s="171">
        <v>99</v>
      </c>
      <c r="F23" s="195"/>
    </row>
    <row r="25" spans="1:6" ht="16">
      <c r="B25" s="302" t="s">
        <v>388</v>
      </c>
      <c r="C25" s="171">
        <v>0</v>
      </c>
    </row>
    <row r="26" spans="1:6" ht="16">
      <c r="B26" s="196" t="s">
        <v>389</v>
      </c>
      <c r="C26" s="171">
        <v>250</v>
      </c>
    </row>
    <row r="27" spans="1:6" ht="16">
      <c r="B27" s="196" t="s">
        <v>390</v>
      </c>
      <c r="C27" s="171">
        <v>250</v>
      </c>
    </row>
  </sheetData>
  <mergeCells count="2">
    <mergeCell ref="A9:A11"/>
    <mergeCell ref="A13:A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22"/>
  <sheetViews>
    <sheetView topLeftCell="A2" zoomScale="190" zoomScaleNormal="190" zoomScalePageLayoutView="150" workbookViewId="0">
      <pane xSplit="29" ySplit="4" topLeftCell="AD6" activePane="bottomRight" state="frozen"/>
      <selection pane="topRight" activeCell="AD2" sqref="AD2"/>
      <selection pane="bottomLeft" activeCell="A6" sqref="A6"/>
      <selection pane="bottomRight" activeCell="A98" sqref="A98:XFD103"/>
    </sheetView>
  </sheetViews>
  <sheetFormatPr baseColWidth="10" defaultColWidth="8.83203125" defaultRowHeight="15"/>
  <cols>
    <col min="1" max="1" width="33.6640625" style="90" bestFit="1" customWidth="1"/>
    <col min="2" max="4" width="12.5" style="144" hidden="1" customWidth="1"/>
    <col min="5" max="7" width="12" style="144" hidden="1" customWidth="1"/>
    <col min="8" max="10" width="12.5" style="144" hidden="1" customWidth="1"/>
    <col min="11" max="12" width="12" style="144" hidden="1" customWidth="1"/>
    <col min="13" max="13" width="12.1640625" style="144" hidden="1" customWidth="1"/>
    <col min="14" max="14" width="12.6640625" style="89" hidden="1" customWidth="1"/>
    <col min="15" max="15" width="12.6640625" style="144" hidden="1" customWidth="1"/>
    <col min="16" max="16" width="12.5" style="88" hidden="1" customWidth="1"/>
    <col min="17" max="17" width="41.1640625" style="144" hidden="1" customWidth="1"/>
    <col min="18" max="18" width="13.5" style="123" hidden="1" customWidth="1"/>
    <col min="19" max="20" width="12.1640625" style="144" hidden="1" customWidth="1"/>
    <col min="21" max="21" width="12.5" style="144" hidden="1" customWidth="1"/>
    <col min="22" max="22" width="11.83203125" style="144" hidden="1" customWidth="1"/>
    <col min="23" max="23" width="11.6640625" style="144" hidden="1" customWidth="1"/>
    <col min="24" max="25" width="12.1640625" style="144" hidden="1" customWidth="1"/>
    <col min="26" max="29" width="12.5" style="144" hidden="1" customWidth="1"/>
    <col min="30" max="30" width="12.6640625" style="121" customWidth="1"/>
    <col min="31" max="31" width="11.5" style="121" customWidth="1"/>
    <col min="32" max="32" width="12.6640625" style="121" hidden="1" customWidth="1"/>
    <col min="33" max="33" width="11.1640625" style="89" hidden="1" customWidth="1"/>
    <col min="34" max="35" width="10.5" style="121" hidden="1" customWidth="1"/>
    <col min="36" max="36" width="31.83203125" style="144" hidden="1" customWidth="1"/>
    <col min="37" max="48" width="8.83203125" style="144" customWidth="1"/>
    <col min="49" max="50" width="11" style="89" customWidth="1"/>
    <col min="51" max="51" width="8.83203125" style="27" customWidth="1"/>
    <col min="52" max="16384" width="8.83203125" style="144"/>
  </cols>
  <sheetData>
    <row r="1" spans="1:53" ht="18">
      <c r="A1" s="792"/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290"/>
      <c r="P1" s="292"/>
      <c r="Q1" s="290"/>
      <c r="R1" s="805" t="s">
        <v>0</v>
      </c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806"/>
      <c r="AG1" s="806"/>
      <c r="AH1" s="806"/>
      <c r="AI1" s="806"/>
      <c r="AJ1" s="806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1"/>
      <c r="AX1" s="291"/>
      <c r="AZ1" s="290"/>
      <c r="BA1" s="290"/>
    </row>
    <row r="2" spans="1:53" ht="18">
      <c r="A2" s="792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290"/>
      <c r="P2" s="292"/>
      <c r="Q2" s="290"/>
      <c r="R2" s="805" t="s">
        <v>406</v>
      </c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1"/>
      <c r="AX2" s="291"/>
      <c r="AZ2" s="290"/>
      <c r="BA2" s="290"/>
    </row>
    <row r="3" spans="1:53" ht="13" customHeight="1">
      <c r="A3" s="794"/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290"/>
      <c r="P3" s="292"/>
      <c r="Q3" s="290"/>
      <c r="R3" s="293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4"/>
      <c r="AE3" s="294"/>
      <c r="AF3" s="294"/>
      <c r="AG3" s="291"/>
      <c r="AH3" s="294"/>
      <c r="AI3" s="294"/>
      <c r="AJ3" s="290"/>
      <c r="AK3" s="290"/>
      <c r="AL3" s="303">
        <f>(AD12-AE12)/AE12</f>
        <v>7.3024181038477201E-2</v>
      </c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1"/>
      <c r="AX3" s="291"/>
      <c r="AZ3" s="290"/>
      <c r="BA3" s="290"/>
    </row>
    <row r="4" spans="1:53" ht="23" customHeight="1">
      <c r="A4" s="10"/>
      <c r="B4" s="295" t="s">
        <v>407</v>
      </c>
      <c r="C4" s="295" t="s">
        <v>407</v>
      </c>
      <c r="D4" s="295" t="s">
        <v>407</v>
      </c>
      <c r="E4" s="295" t="s">
        <v>407</v>
      </c>
      <c r="F4" s="295" t="s">
        <v>407</v>
      </c>
      <c r="G4" s="295" t="s">
        <v>407</v>
      </c>
      <c r="H4" s="295" t="s">
        <v>407</v>
      </c>
      <c r="I4" s="295" t="s">
        <v>407</v>
      </c>
      <c r="J4" s="295" t="s">
        <v>407</v>
      </c>
      <c r="K4" s="101" t="s">
        <v>407</v>
      </c>
      <c r="L4" s="101" t="s">
        <v>407</v>
      </c>
      <c r="M4" s="296" t="s">
        <v>3</v>
      </c>
      <c r="N4" s="291"/>
      <c r="O4" s="290"/>
      <c r="P4" s="292"/>
      <c r="Q4" s="290"/>
      <c r="R4" s="147" t="s">
        <v>408</v>
      </c>
      <c r="S4" s="148" t="s">
        <v>408</v>
      </c>
      <c r="T4" s="148" t="s">
        <v>408</v>
      </c>
      <c r="U4" s="148" t="s">
        <v>408</v>
      </c>
      <c r="V4" s="148" t="s">
        <v>408</v>
      </c>
      <c r="W4" s="148" t="s">
        <v>408</v>
      </c>
      <c r="X4" s="149" t="s">
        <v>408</v>
      </c>
      <c r="Y4" s="148" t="s">
        <v>408</v>
      </c>
      <c r="Z4" s="295" t="s">
        <v>3</v>
      </c>
      <c r="AA4" s="296" t="s">
        <v>3</v>
      </c>
      <c r="AB4" s="296" t="s">
        <v>3</v>
      </c>
      <c r="AC4" s="296" t="s">
        <v>3</v>
      </c>
      <c r="AD4" s="294"/>
      <c r="AE4" s="294"/>
      <c r="AF4" s="294"/>
      <c r="AG4" s="291"/>
      <c r="AH4" s="294"/>
      <c r="AI4" s="294"/>
      <c r="AJ4" s="290"/>
      <c r="AK4" s="296" t="s">
        <v>3</v>
      </c>
      <c r="AL4" s="296" t="s">
        <v>3</v>
      </c>
      <c r="AM4" s="296" t="s">
        <v>3</v>
      </c>
      <c r="AN4" s="296" t="s">
        <v>3</v>
      </c>
      <c r="AO4" s="296" t="s">
        <v>3</v>
      </c>
      <c r="AP4" s="296" t="s">
        <v>3</v>
      </c>
      <c r="AQ4" s="296" t="s">
        <v>3</v>
      </c>
      <c r="AR4" s="296" t="s">
        <v>3</v>
      </c>
      <c r="AS4" s="296" t="s">
        <v>3</v>
      </c>
      <c r="AT4" s="296" t="s">
        <v>3</v>
      </c>
      <c r="AU4" s="296" t="s">
        <v>3</v>
      </c>
      <c r="AV4" s="296" t="s">
        <v>3</v>
      </c>
      <c r="AW4" s="291"/>
      <c r="AX4" s="291"/>
      <c r="AZ4" s="290"/>
      <c r="BA4" s="290"/>
    </row>
    <row r="5" spans="1:53" ht="40">
      <c r="A5" s="8"/>
      <c r="B5" s="298">
        <v>42736</v>
      </c>
      <c r="C5" s="298">
        <v>42767</v>
      </c>
      <c r="D5" s="298">
        <v>42795</v>
      </c>
      <c r="E5" s="298">
        <v>42826</v>
      </c>
      <c r="F5" s="298">
        <v>42856</v>
      </c>
      <c r="G5" s="298">
        <v>42887</v>
      </c>
      <c r="H5" s="298">
        <v>42917</v>
      </c>
      <c r="I5" s="298">
        <v>42948</v>
      </c>
      <c r="J5" s="298">
        <v>42979</v>
      </c>
      <c r="K5" s="298">
        <v>43009</v>
      </c>
      <c r="L5" s="298">
        <v>43040</v>
      </c>
      <c r="M5" s="6">
        <v>43070</v>
      </c>
      <c r="N5" s="120" t="s">
        <v>4</v>
      </c>
      <c r="O5" s="709" t="s">
        <v>7</v>
      </c>
      <c r="P5" s="299" t="s">
        <v>115</v>
      </c>
      <c r="Q5" s="119" t="s">
        <v>409</v>
      </c>
      <c r="R5" s="300">
        <v>43101</v>
      </c>
      <c r="S5" s="298">
        <v>43132</v>
      </c>
      <c r="T5" s="298">
        <v>43160</v>
      </c>
      <c r="U5" s="298">
        <v>43191</v>
      </c>
      <c r="V5" s="298">
        <v>43221</v>
      </c>
      <c r="W5" s="298">
        <v>43252</v>
      </c>
      <c r="X5" s="298">
        <v>43282</v>
      </c>
      <c r="Y5" s="298">
        <v>43313</v>
      </c>
      <c r="Z5" s="298">
        <v>43344</v>
      </c>
      <c r="AA5" s="298">
        <v>43374</v>
      </c>
      <c r="AB5" s="298">
        <v>43405</v>
      </c>
      <c r="AC5" s="298">
        <v>43435</v>
      </c>
      <c r="AD5" s="120" t="s">
        <v>410</v>
      </c>
      <c r="AE5" s="122" t="s">
        <v>411</v>
      </c>
      <c r="AF5" s="122" t="s">
        <v>412</v>
      </c>
      <c r="AG5" s="120" t="s">
        <v>413</v>
      </c>
      <c r="AH5" s="122" t="s">
        <v>414</v>
      </c>
      <c r="AI5" s="122" t="s">
        <v>415</v>
      </c>
      <c r="AJ5" s="124" t="s">
        <v>416</v>
      </c>
      <c r="AK5" s="6">
        <v>43466</v>
      </c>
      <c r="AL5" s="6">
        <v>43497</v>
      </c>
      <c r="AM5" s="6">
        <v>43525</v>
      </c>
      <c r="AN5" s="6">
        <v>43556</v>
      </c>
      <c r="AO5" s="6">
        <v>43586</v>
      </c>
      <c r="AP5" s="6">
        <v>43617</v>
      </c>
      <c r="AQ5" s="6">
        <v>43647</v>
      </c>
      <c r="AR5" s="6">
        <v>43678</v>
      </c>
      <c r="AS5" s="6">
        <v>43709</v>
      </c>
      <c r="AT5" s="6">
        <v>43739</v>
      </c>
      <c r="AU5" s="6">
        <v>43770</v>
      </c>
      <c r="AV5" s="6">
        <v>43800</v>
      </c>
      <c r="AW5" s="120" t="s">
        <v>417</v>
      </c>
      <c r="AX5" s="162" t="s">
        <v>418</v>
      </c>
      <c r="AZ5" s="290"/>
      <c r="BA5" s="290"/>
    </row>
    <row r="6" spans="1:53">
      <c r="A6" s="1" t="s">
        <v>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2"/>
      <c r="N6" s="304"/>
      <c r="O6" s="2"/>
      <c r="P6" s="292"/>
      <c r="Q6" s="290"/>
      <c r="R6" s="305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6"/>
      <c r="AF6" s="306"/>
      <c r="AG6" s="304"/>
      <c r="AH6" s="306"/>
      <c r="AI6" s="306"/>
      <c r="AJ6" s="290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04"/>
      <c r="AX6" s="304"/>
      <c r="AZ6" s="290"/>
      <c r="BA6" s="290"/>
    </row>
    <row r="7" spans="1:53">
      <c r="A7" s="1" t="s">
        <v>10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11"/>
      <c r="N7" s="307"/>
      <c r="O7" s="11"/>
      <c r="P7" s="292"/>
      <c r="Q7" s="290"/>
      <c r="R7" s="308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9"/>
      <c r="AF7" s="309"/>
      <c r="AG7" s="307"/>
      <c r="AH7" s="309"/>
      <c r="AI7" s="126"/>
      <c r="AJ7" s="127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307"/>
      <c r="AX7" s="307"/>
      <c r="AY7" s="176" t="s">
        <v>419</v>
      </c>
      <c r="AZ7" s="310"/>
      <c r="BA7" s="310"/>
    </row>
    <row r="8" spans="1:53">
      <c r="A8" s="4" t="s">
        <v>11</v>
      </c>
      <c r="B8" s="146">
        <f>0</f>
        <v>0</v>
      </c>
      <c r="C8" s="146">
        <f>0</f>
        <v>0</v>
      </c>
      <c r="D8" s="146">
        <f>0</f>
        <v>0</v>
      </c>
      <c r="E8" s="146">
        <f>0</f>
        <v>0</v>
      </c>
      <c r="F8" s="146">
        <v>9310</v>
      </c>
      <c r="G8" s="146">
        <v>51.25</v>
      </c>
      <c r="H8" s="146">
        <f>0</f>
        <v>0</v>
      </c>
      <c r="I8" s="146">
        <f>0</f>
        <v>0</v>
      </c>
      <c r="J8" s="146">
        <v>51.25</v>
      </c>
      <c r="K8" s="146">
        <f>0</f>
        <v>0</v>
      </c>
      <c r="L8" s="146">
        <f>0</f>
        <v>0</v>
      </c>
      <c r="M8" s="12">
        <f>0</f>
        <v>0</v>
      </c>
      <c r="N8" s="146">
        <f>SUM(B8:M8)</f>
        <v>9412.5</v>
      </c>
      <c r="O8" s="12">
        <v>0</v>
      </c>
      <c r="P8" s="311">
        <f>N8-O8</f>
        <v>9412.5</v>
      </c>
      <c r="Q8" s="27"/>
      <c r="R8" s="312">
        <f>0</f>
        <v>0</v>
      </c>
      <c r="S8" s="146">
        <f>0</f>
        <v>0</v>
      </c>
      <c r="T8" s="146">
        <f>0</f>
        <v>0</v>
      </c>
      <c r="U8" s="146">
        <f>0</f>
        <v>0</v>
      </c>
      <c r="V8" s="146">
        <v>0</v>
      </c>
      <c r="W8" s="146">
        <v>19532</v>
      </c>
      <c r="X8" s="146">
        <f>0</f>
        <v>0</v>
      </c>
      <c r="Y8" s="146">
        <f>0</f>
        <v>0</v>
      </c>
      <c r="Z8" s="146">
        <f>0</f>
        <v>0</v>
      </c>
      <c r="AA8" s="146">
        <f>0</f>
        <v>0</v>
      </c>
      <c r="AB8" s="146">
        <f>0</f>
        <v>0</v>
      </c>
      <c r="AC8" s="146">
        <f>0</f>
        <v>0</v>
      </c>
      <c r="AD8" s="146">
        <f>SUM(Q8:AC8)</f>
        <v>19532</v>
      </c>
      <c r="AE8" s="26">
        <v>15000</v>
      </c>
      <c r="AF8" s="26"/>
      <c r="AG8" s="146">
        <f t="shared" ref="AG8:AG13" si="0">AD8-AE8</f>
        <v>4532</v>
      </c>
      <c r="AH8" s="26">
        <f t="shared" ref="AH8:AH13" si="1">AE8-AG8</f>
        <v>10468</v>
      </c>
      <c r="AI8" s="128">
        <f>AH8/AG8</f>
        <v>2.3097969991173875</v>
      </c>
      <c r="AJ8" s="27" t="s">
        <v>420</v>
      </c>
      <c r="AK8" s="12">
        <f>0</f>
        <v>0</v>
      </c>
      <c r="AL8" s="12">
        <f>0</f>
        <v>0</v>
      </c>
      <c r="AM8" s="12">
        <f>0</f>
        <v>0</v>
      </c>
      <c r="AN8" s="12">
        <f>0</f>
        <v>0</v>
      </c>
      <c r="AO8" s="12">
        <f>0</f>
        <v>0</v>
      </c>
      <c r="AP8" s="12">
        <f>0</f>
        <v>0</v>
      </c>
      <c r="AQ8" s="12">
        <f>0</f>
        <v>0</v>
      </c>
      <c r="AR8" s="12">
        <f>0</f>
        <v>0</v>
      </c>
      <c r="AS8" s="12">
        <f>0</f>
        <v>0</v>
      </c>
      <c r="AT8" s="12">
        <f>0</f>
        <v>0</v>
      </c>
      <c r="AU8" s="12">
        <f>0</f>
        <v>0</v>
      </c>
      <c r="AV8" s="12">
        <f>0</f>
        <v>0</v>
      </c>
      <c r="AW8" s="146">
        <f>SUM(AK8:AV8)</f>
        <v>0</v>
      </c>
      <c r="AX8" s="146">
        <f t="shared" ref="AX8:AX13" si="2">AD8</f>
        <v>19532</v>
      </c>
      <c r="AY8" s="175" t="s">
        <v>421</v>
      </c>
      <c r="AZ8" s="313"/>
      <c r="BA8" s="313"/>
    </row>
    <row r="9" spans="1:53">
      <c r="A9" s="4" t="s">
        <v>13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25000</v>
      </c>
      <c r="I9" s="146">
        <v>0</v>
      </c>
      <c r="J9" s="146">
        <v>0</v>
      </c>
      <c r="K9" s="146">
        <v>0</v>
      </c>
      <c r="L9" s="146">
        <v>0</v>
      </c>
      <c r="M9" s="314">
        <v>75000</v>
      </c>
      <c r="N9" s="146">
        <f>SUM(B9:M9)</f>
        <v>100000</v>
      </c>
      <c r="O9" s="12">
        <v>100000</v>
      </c>
      <c r="P9" s="311">
        <f>N9-O9</f>
        <v>0</v>
      </c>
      <c r="Q9" s="27" t="s">
        <v>14</v>
      </c>
      <c r="R9" s="312">
        <v>0</v>
      </c>
      <c r="S9" s="146">
        <v>0</v>
      </c>
      <c r="T9" s="146">
        <v>0</v>
      </c>
      <c r="U9" s="146">
        <v>35000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f>115000</f>
        <v>115000</v>
      </c>
      <c r="AD9" s="146">
        <f>SUM(Q9:AC9)</f>
        <v>150000</v>
      </c>
      <c r="AE9" s="26">
        <v>100000</v>
      </c>
      <c r="AF9" s="26"/>
      <c r="AG9" s="146">
        <f t="shared" si="0"/>
        <v>50000</v>
      </c>
      <c r="AH9" s="26">
        <f t="shared" si="1"/>
        <v>50000</v>
      </c>
      <c r="AI9" s="128">
        <f>AH9/AG9</f>
        <v>1</v>
      </c>
      <c r="AJ9" s="27"/>
      <c r="AK9" s="314">
        <v>17000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314">
        <v>75000</v>
      </c>
      <c r="AW9" s="146">
        <f>SUM(AK9:AV9)</f>
        <v>92000</v>
      </c>
      <c r="AX9" s="146">
        <f t="shared" si="2"/>
        <v>150000</v>
      </c>
      <c r="AY9" s="27" t="s">
        <v>422</v>
      </c>
      <c r="AZ9" s="290"/>
      <c r="BA9" s="290"/>
    </row>
    <row r="10" spans="1:53">
      <c r="A10" s="4" t="s">
        <v>15</v>
      </c>
      <c r="B10" s="146">
        <f>0</f>
        <v>0</v>
      </c>
      <c r="C10" s="146">
        <f>0</f>
        <v>0</v>
      </c>
      <c r="D10" s="146">
        <f>0</f>
        <v>0</v>
      </c>
      <c r="E10" s="146">
        <f>0</f>
        <v>0</v>
      </c>
      <c r="F10" s="146">
        <f>0</f>
        <v>0</v>
      </c>
      <c r="G10" s="146">
        <f>0</f>
        <v>0</v>
      </c>
      <c r="H10" s="146">
        <v>0</v>
      </c>
      <c r="I10" s="146">
        <f>0</f>
        <v>0</v>
      </c>
      <c r="J10" s="146">
        <f>0</f>
        <v>0</v>
      </c>
      <c r="K10" s="146">
        <f>0</f>
        <v>0</v>
      </c>
      <c r="L10" s="146">
        <f>0</f>
        <v>0</v>
      </c>
      <c r="M10" s="12">
        <f>0</f>
        <v>0</v>
      </c>
      <c r="N10" s="146">
        <f>SUM(B10:M10)</f>
        <v>0</v>
      </c>
      <c r="O10" s="12">
        <v>0</v>
      </c>
      <c r="P10" s="311">
        <f>N10-O10</f>
        <v>0</v>
      </c>
      <c r="Q10" s="27"/>
      <c r="R10" s="312">
        <f>0</f>
        <v>0</v>
      </c>
      <c r="S10" s="146">
        <f>0</f>
        <v>0</v>
      </c>
      <c r="T10" s="146">
        <f>0</f>
        <v>0</v>
      </c>
      <c r="U10" s="146">
        <f>0</f>
        <v>0</v>
      </c>
      <c r="V10" s="146">
        <f>0</f>
        <v>0</v>
      </c>
      <c r="W10" s="146">
        <f>0</f>
        <v>0</v>
      </c>
      <c r="X10" s="146">
        <v>0</v>
      </c>
      <c r="Y10" s="146">
        <f>0</f>
        <v>0</v>
      </c>
      <c r="Z10" s="146">
        <f>0</f>
        <v>0</v>
      </c>
      <c r="AA10" s="146">
        <f>0</f>
        <v>0</v>
      </c>
      <c r="AB10" s="146">
        <f>0</f>
        <v>0</v>
      </c>
      <c r="AC10" s="146">
        <f>0</f>
        <v>0</v>
      </c>
      <c r="AD10" s="146">
        <f>SUM(Q10:AC10)</f>
        <v>0</v>
      </c>
      <c r="AE10" s="26">
        <f>SUM(R10:AC10)</f>
        <v>0</v>
      </c>
      <c r="AF10" s="26"/>
      <c r="AG10" s="146">
        <f t="shared" si="0"/>
        <v>0</v>
      </c>
      <c r="AH10" s="26">
        <f t="shared" si="1"/>
        <v>0</v>
      </c>
      <c r="AI10" s="128">
        <v>0</v>
      </c>
      <c r="AJ10" s="27"/>
      <c r="AK10" s="12">
        <f>0</f>
        <v>0</v>
      </c>
      <c r="AL10" s="12">
        <f>0</f>
        <v>0</v>
      </c>
      <c r="AM10" s="12">
        <f>0</f>
        <v>0</v>
      </c>
      <c r="AN10" s="12">
        <f>0</f>
        <v>0</v>
      </c>
      <c r="AO10" s="12">
        <f>0</f>
        <v>0</v>
      </c>
      <c r="AP10" s="12">
        <f>0</f>
        <v>0</v>
      </c>
      <c r="AQ10" s="12">
        <v>0</v>
      </c>
      <c r="AR10" s="12">
        <f>0</f>
        <v>0</v>
      </c>
      <c r="AS10" s="12">
        <f>0</f>
        <v>0</v>
      </c>
      <c r="AT10" s="12">
        <f>0</f>
        <v>0</v>
      </c>
      <c r="AU10" s="12">
        <f>0</f>
        <v>0</v>
      </c>
      <c r="AV10" s="12">
        <f>0</f>
        <v>0</v>
      </c>
      <c r="AW10" s="146">
        <f>SUM(AK10:AV10)</f>
        <v>0</v>
      </c>
      <c r="AX10" s="146">
        <f t="shared" si="2"/>
        <v>0</v>
      </c>
      <c r="AZ10" s="290"/>
      <c r="BA10" s="290"/>
    </row>
    <row r="11" spans="1:53">
      <c r="A11" s="4" t="s">
        <v>423</v>
      </c>
      <c r="B11" s="146">
        <f>5833</f>
        <v>5833</v>
      </c>
      <c r="C11" s="146">
        <v>833</v>
      </c>
      <c r="D11" s="146">
        <f>10833</f>
        <v>10833</v>
      </c>
      <c r="E11" s="146">
        <f>833</f>
        <v>833</v>
      </c>
      <c r="F11" s="146">
        <f>5833</f>
        <v>5833</v>
      </c>
      <c r="G11" s="146">
        <v>833</v>
      </c>
      <c r="H11" s="146">
        <f>833</f>
        <v>833</v>
      </c>
      <c r="I11" s="146">
        <v>833</v>
      </c>
      <c r="J11" s="146">
        <v>833</v>
      </c>
      <c r="K11" s="146">
        <v>10833</v>
      </c>
      <c r="L11" s="146">
        <v>833</v>
      </c>
      <c r="M11" s="314">
        <v>5833</v>
      </c>
      <c r="N11" s="146">
        <f>SUM(B11:M11)</f>
        <v>44996</v>
      </c>
      <c r="O11" s="12">
        <v>57696</v>
      </c>
      <c r="P11" s="311">
        <f>N11-O11</f>
        <v>-12700</v>
      </c>
      <c r="Q11" s="27" t="s">
        <v>17</v>
      </c>
      <c r="R11" s="312">
        <v>10833</v>
      </c>
      <c r="S11" s="146">
        <v>833</v>
      </c>
      <c r="T11" s="146">
        <f>2500+833</f>
        <v>3333</v>
      </c>
      <c r="U11" s="146">
        <f>10833</f>
        <v>10833</v>
      </c>
      <c r="V11" s="146">
        <v>5833</v>
      </c>
      <c r="W11" s="146">
        <v>833</v>
      </c>
      <c r="X11" s="146">
        <f>833.66+2500</f>
        <v>3333.66</v>
      </c>
      <c r="Y11" s="146">
        <v>833.33</v>
      </c>
      <c r="Z11" s="146">
        <f>833.33+12000+2500</f>
        <v>15333.33</v>
      </c>
      <c r="AA11" s="146">
        <v>10833.33</v>
      </c>
      <c r="AB11" s="146">
        <v>0</v>
      </c>
      <c r="AC11" s="146">
        <v>0</v>
      </c>
      <c r="AD11" s="146">
        <f>SUM(Q11:AC11)</f>
        <v>62831.650000000009</v>
      </c>
      <c r="AE11" s="26">
        <v>54996</v>
      </c>
      <c r="AF11" s="26"/>
      <c r="AG11" s="146">
        <f t="shared" si="0"/>
        <v>7835.6500000000087</v>
      </c>
      <c r="AH11" s="26">
        <f t="shared" si="1"/>
        <v>47160.349999999991</v>
      </c>
      <c r="AI11" s="128">
        <f>AH11/AG11</f>
        <v>6.0186902171485377</v>
      </c>
      <c r="AJ11" s="27" t="s">
        <v>424</v>
      </c>
      <c r="AK11" s="12">
        <f>5000+2500+1250</f>
        <v>8750</v>
      </c>
      <c r="AL11" s="12">
        <v>1250</v>
      </c>
      <c r="AM11" s="314">
        <f>1250+5000</f>
        <v>6250</v>
      </c>
      <c r="AN11" s="12">
        <f>1250+10000</f>
        <v>11250</v>
      </c>
      <c r="AO11" s="12">
        <f>1250+2000</f>
        <v>3250</v>
      </c>
      <c r="AP11" s="314">
        <f>1250+5000</f>
        <v>6250</v>
      </c>
      <c r="AQ11" s="12">
        <f>1250+2500</f>
        <v>3750</v>
      </c>
      <c r="AR11" s="12">
        <v>1250</v>
      </c>
      <c r="AS11" s="314">
        <f>1250+12000+2500+10000</f>
        <v>25750</v>
      </c>
      <c r="AT11" s="314">
        <f>1250+5000</f>
        <v>6250</v>
      </c>
      <c r="AU11" s="12">
        <v>1250</v>
      </c>
      <c r="AV11" s="12">
        <f>1250+2500</f>
        <v>3750</v>
      </c>
      <c r="AW11" s="146">
        <f>SUM(AK11:AV11)</f>
        <v>79000</v>
      </c>
      <c r="AX11" s="146">
        <f t="shared" si="2"/>
        <v>62831.650000000009</v>
      </c>
      <c r="AZ11" s="290"/>
      <c r="BA11" s="290"/>
    </row>
    <row r="12" spans="1:53">
      <c r="A12" s="4" t="s">
        <v>121</v>
      </c>
      <c r="B12" s="146">
        <v>11866.54</v>
      </c>
      <c r="C12" s="146">
        <v>4229.55</v>
      </c>
      <c r="D12" s="146">
        <v>3881.81</v>
      </c>
      <c r="E12" s="146">
        <v>3260.04</v>
      </c>
      <c r="F12" s="146">
        <v>3706.18</v>
      </c>
      <c r="G12" s="146">
        <v>2901.15</v>
      </c>
      <c r="H12" s="146">
        <v>5553.09</v>
      </c>
      <c r="I12" s="146">
        <v>4209.09</v>
      </c>
      <c r="J12" s="146">
        <v>6299.76</v>
      </c>
      <c r="K12" s="146">
        <v>2804.09</v>
      </c>
      <c r="L12" s="146">
        <v>13975.39</v>
      </c>
      <c r="M12" s="314">
        <v>47596.4</v>
      </c>
      <c r="N12" s="146">
        <f>SUM(B12:M12)</f>
        <v>110283.09</v>
      </c>
      <c r="O12" s="12">
        <v>85141.36</v>
      </c>
      <c r="P12" s="311">
        <f>N12-O12</f>
        <v>25141.729999999996</v>
      </c>
      <c r="Q12" s="27"/>
      <c r="R12" s="312">
        <v>6135.37</v>
      </c>
      <c r="S12" s="146">
        <v>3910.54</v>
      </c>
      <c r="T12" s="146">
        <v>5457.51</v>
      </c>
      <c r="U12" s="146">
        <v>4800</v>
      </c>
      <c r="V12" s="146">
        <v>32460</v>
      </c>
      <c r="W12" s="146">
        <v>8420</v>
      </c>
      <c r="X12" s="146">
        <v>4030</v>
      </c>
      <c r="Y12" s="146">
        <v>4649</v>
      </c>
      <c r="Z12" s="146">
        <v>9255</v>
      </c>
      <c r="AA12" s="146">
        <v>6789.03</v>
      </c>
      <c r="AB12" s="146">
        <v>15579.38</v>
      </c>
      <c r="AC12" s="146">
        <v>26345</v>
      </c>
      <c r="AD12" s="146">
        <f>SUM(Q12:AC12)</f>
        <v>127830.83</v>
      </c>
      <c r="AE12" s="26">
        <v>119131.36</v>
      </c>
      <c r="AF12" s="26"/>
      <c r="AG12" s="146">
        <f t="shared" si="0"/>
        <v>8699.4700000000012</v>
      </c>
      <c r="AH12" s="138">
        <f t="shared" si="1"/>
        <v>110431.89</v>
      </c>
      <c r="AI12" s="129">
        <f>AH12/AG12</f>
        <v>12.694094008025775</v>
      </c>
      <c r="AJ12" s="27" t="s">
        <v>425</v>
      </c>
      <c r="AK12" s="161">
        <f>6748+15000</f>
        <v>21748</v>
      </c>
      <c r="AL12" s="161">
        <v>4302</v>
      </c>
      <c r="AM12" s="161">
        <v>6004</v>
      </c>
      <c r="AN12" s="161">
        <v>5280</v>
      </c>
      <c r="AO12" s="161">
        <v>35000</v>
      </c>
      <c r="AP12" s="161">
        <v>9262</v>
      </c>
      <c r="AQ12" s="161">
        <v>4433</v>
      </c>
      <c r="AR12" s="161">
        <v>5113</v>
      </c>
      <c r="AS12" s="161">
        <v>10181</v>
      </c>
      <c r="AT12" s="161">
        <v>7468</v>
      </c>
      <c r="AU12" s="161">
        <v>16000</v>
      </c>
      <c r="AV12" s="161">
        <f>AC12*1.1</f>
        <v>28979.500000000004</v>
      </c>
      <c r="AW12" s="146">
        <f>SUM(AK12:AV12)</f>
        <v>153770.5</v>
      </c>
      <c r="AX12" s="315">
        <f t="shared" si="2"/>
        <v>127830.83</v>
      </c>
      <c r="AY12" s="27" t="s">
        <v>426</v>
      </c>
      <c r="AZ12" s="290"/>
      <c r="BA12" s="290"/>
    </row>
    <row r="13" spans="1:53">
      <c r="A13" s="1" t="s">
        <v>19</v>
      </c>
      <c r="B13" s="316">
        <f t="shared" ref="B13:N13" si="3">SUM(B8:B12)</f>
        <v>17699.54</v>
      </c>
      <c r="C13" s="316">
        <f t="shared" si="3"/>
        <v>5062.55</v>
      </c>
      <c r="D13" s="316">
        <f t="shared" si="3"/>
        <v>14714.81</v>
      </c>
      <c r="E13" s="316">
        <f t="shared" si="3"/>
        <v>4093.04</v>
      </c>
      <c r="F13" s="316">
        <f t="shared" si="3"/>
        <v>18849.18</v>
      </c>
      <c r="G13" s="316">
        <f t="shared" si="3"/>
        <v>3785.4</v>
      </c>
      <c r="H13" s="316">
        <f t="shared" si="3"/>
        <v>31386.09</v>
      </c>
      <c r="I13" s="316">
        <f t="shared" si="3"/>
        <v>5042.09</v>
      </c>
      <c r="J13" s="316">
        <f t="shared" si="3"/>
        <v>7184.01</v>
      </c>
      <c r="K13" s="316">
        <f t="shared" si="3"/>
        <v>13637.09</v>
      </c>
      <c r="L13" s="316">
        <f t="shared" si="3"/>
        <v>14808.39</v>
      </c>
      <c r="M13" s="20">
        <f t="shared" si="3"/>
        <v>128429.4</v>
      </c>
      <c r="N13" s="316">
        <f t="shared" si="3"/>
        <v>264691.58999999997</v>
      </c>
      <c r="O13" s="20">
        <f>SUM(O7:O12)</f>
        <v>242837.36</v>
      </c>
      <c r="P13" s="20">
        <f>SUM(P7:P12)</f>
        <v>21854.229999999996</v>
      </c>
      <c r="Q13" s="27"/>
      <c r="R13" s="317">
        <f t="shared" ref="R13:AD13" si="4">SUM(R8:R12)</f>
        <v>16968.37</v>
      </c>
      <c r="S13" s="316">
        <f t="shared" si="4"/>
        <v>4743.54</v>
      </c>
      <c r="T13" s="316">
        <f t="shared" si="4"/>
        <v>8790.51</v>
      </c>
      <c r="U13" s="316">
        <f t="shared" si="4"/>
        <v>50633</v>
      </c>
      <c r="V13" s="316">
        <f t="shared" si="4"/>
        <v>38293</v>
      </c>
      <c r="W13" s="316">
        <f t="shared" si="4"/>
        <v>28785</v>
      </c>
      <c r="X13" s="316">
        <f t="shared" si="4"/>
        <v>7363.66</v>
      </c>
      <c r="Y13" s="316">
        <f t="shared" si="4"/>
        <v>5482.33</v>
      </c>
      <c r="Z13" s="316">
        <f t="shared" si="4"/>
        <v>24588.33</v>
      </c>
      <c r="AA13" s="316">
        <f t="shared" si="4"/>
        <v>17622.36</v>
      </c>
      <c r="AB13" s="316">
        <f t="shared" si="4"/>
        <v>15579.38</v>
      </c>
      <c r="AC13" s="316">
        <f t="shared" si="4"/>
        <v>141345</v>
      </c>
      <c r="AD13" s="316">
        <f t="shared" si="4"/>
        <v>360194.48000000004</v>
      </c>
      <c r="AE13" s="318">
        <f>SUM(AE8:AE12)</f>
        <v>289127.36</v>
      </c>
      <c r="AF13" s="318"/>
      <c r="AG13" s="145">
        <f t="shared" si="0"/>
        <v>71067.120000000054</v>
      </c>
      <c r="AH13" s="26">
        <f t="shared" si="1"/>
        <v>218060.23999999993</v>
      </c>
      <c r="AI13" s="128">
        <f>AH13/AG13</f>
        <v>3.0683702955740961</v>
      </c>
      <c r="AJ13" s="27"/>
      <c r="AK13" s="20">
        <f t="shared" ref="AK13:AW13" si="5">SUM(AK8:AK12)</f>
        <v>47498</v>
      </c>
      <c r="AL13" s="20">
        <f t="shared" si="5"/>
        <v>5552</v>
      </c>
      <c r="AM13" s="20">
        <f t="shared" si="5"/>
        <v>12254</v>
      </c>
      <c r="AN13" s="20">
        <f t="shared" si="5"/>
        <v>16530</v>
      </c>
      <c r="AO13" s="20">
        <f t="shared" si="5"/>
        <v>38250</v>
      </c>
      <c r="AP13" s="20">
        <f t="shared" si="5"/>
        <v>15512</v>
      </c>
      <c r="AQ13" s="20">
        <f t="shared" si="5"/>
        <v>8183</v>
      </c>
      <c r="AR13" s="20">
        <f t="shared" si="5"/>
        <v>6363</v>
      </c>
      <c r="AS13" s="20">
        <f t="shared" si="5"/>
        <v>35931</v>
      </c>
      <c r="AT13" s="20">
        <f t="shared" si="5"/>
        <v>13718</v>
      </c>
      <c r="AU13" s="20">
        <f t="shared" si="5"/>
        <v>17250</v>
      </c>
      <c r="AV13" s="20">
        <f t="shared" si="5"/>
        <v>107729.5</v>
      </c>
      <c r="AW13" s="316">
        <f t="shared" si="5"/>
        <v>324770.5</v>
      </c>
      <c r="AX13" s="163">
        <f t="shared" si="2"/>
        <v>360194.48000000004</v>
      </c>
      <c r="AZ13" s="290"/>
      <c r="BA13" s="290"/>
    </row>
    <row r="14" spans="1:53" ht="6" customHeight="1">
      <c r="A14" s="4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13"/>
      <c r="N14" s="319"/>
      <c r="O14" s="292"/>
      <c r="P14" s="292"/>
      <c r="Q14" s="27"/>
      <c r="R14" s="320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21"/>
      <c r="AF14" s="321"/>
      <c r="AG14" s="319"/>
      <c r="AH14" s="321"/>
      <c r="AI14" s="128"/>
      <c r="AJ14" s="27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319"/>
      <c r="AX14" s="319"/>
      <c r="AZ14" s="290"/>
      <c r="BA14" s="290"/>
    </row>
    <row r="15" spans="1:53">
      <c r="A15" s="1" t="s">
        <v>20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2"/>
      <c r="N15" s="146"/>
      <c r="O15" s="12"/>
      <c r="P15" s="292"/>
      <c r="Q15" s="27"/>
      <c r="R15" s="312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26"/>
      <c r="AF15" s="26"/>
      <c r="AG15" s="146"/>
      <c r="AH15" s="26"/>
      <c r="AI15" s="128"/>
      <c r="AJ15" s="27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46"/>
      <c r="AX15" s="146"/>
      <c r="AZ15" s="290"/>
      <c r="BA15" s="290"/>
    </row>
    <row r="16" spans="1:53">
      <c r="A16" s="4" t="s">
        <v>21</v>
      </c>
      <c r="B16" s="146">
        <v>0</v>
      </c>
      <c r="C16" s="146">
        <f>0</f>
        <v>0</v>
      </c>
      <c r="D16" s="146">
        <v>142.66</v>
      </c>
      <c r="E16" s="146">
        <v>3142.66</v>
      </c>
      <c r="F16" s="146">
        <v>142.66</v>
      </c>
      <c r="G16" s="146">
        <v>930.17</v>
      </c>
      <c r="H16" s="146">
        <v>-7949.75</v>
      </c>
      <c r="I16" s="146">
        <v>0</v>
      </c>
      <c r="J16" s="146">
        <v>0</v>
      </c>
      <c r="K16" s="146">
        <v>0</v>
      </c>
      <c r="L16" s="146">
        <v>0</v>
      </c>
      <c r="M16" s="12">
        <f>0</f>
        <v>0</v>
      </c>
      <c r="N16" s="146">
        <f>SUM(B16:M16)</f>
        <v>-3591.6000000000004</v>
      </c>
      <c r="O16" s="26">
        <v>51000</v>
      </c>
      <c r="P16" s="311">
        <f>N16-O16</f>
        <v>-54591.6</v>
      </c>
      <c r="Q16" s="27" t="s">
        <v>22</v>
      </c>
      <c r="R16" s="312">
        <v>0</v>
      </c>
      <c r="S16" s="146">
        <f>0</f>
        <v>0</v>
      </c>
      <c r="T16" s="146">
        <f>0</f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754.27</v>
      </c>
      <c r="AB16" s="146">
        <v>2659.87</v>
      </c>
      <c r="AC16" s="146">
        <v>0</v>
      </c>
      <c r="AD16" s="146">
        <f>SUM(Q16:AC16)</f>
        <v>3414.14</v>
      </c>
      <c r="AE16" s="26">
        <v>0</v>
      </c>
      <c r="AF16" s="26"/>
      <c r="AG16" s="146">
        <f>AD16-AE16</f>
        <v>3414.14</v>
      </c>
      <c r="AH16" s="26">
        <f>AE16-AG16</f>
        <v>-3414.14</v>
      </c>
      <c r="AI16" s="128">
        <f t="shared" ref="AI16:AI40" si="6">AH16/AG16</f>
        <v>-1</v>
      </c>
      <c r="AJ16" s="27"/>
      <c r="AK16" s="12">
        <v>0</v>
      </c>
      <c r="AL16" s="12">
        <f>0</f>
        <v>0</v>
      </c>
      <c r="AM16" s="12">
        <f>0</f>
        <v>0</v>
      </c>
      <c r="AN16" s="12">
        <f>0</f>
        <v>0</v>
      </c>
      <c r="AO16" s="12">
        <f>0</f>
        <v>0</v>
      </c>
      <c r="AP16" s="12">
        <f>0</f>
        <v>0</v>
      </c>
      <c r="AQ16" s="12">
        <f>0</f>
        <v>0</v>
      </c>
      <c r="AR16" s="12">
        <f>0</f>
        <v>0</v>
      </c>
      <c r="AS16" s="12">
        <f>0</f>
        <v>0</v>
      </c>
      <c r="AT16" s="12">
        <f>0</f>
        <v>0</v>
      </c>
      <c r="AU16" s="12">
        <f>0</f>
        <v>0</v>
      </c>
      <c r="AV16" s="12">
        <f>0</f>
        <v>0</v>
      </c>
      <c r="AW16" s="146">
        <f>SUM(AK16:AV16)</f>
        <v>0</v>
      </c>
      <c r="AX16" s="146">
        <f>AD16</f>
        <v>3414.14</v>
      </c>
      <c r="AZ16" s="290"/>
      <c r="BA16" s="290"/>
    </row>
    <row r="17" spans="1:51">
      <c r="A17" s="4" t="s">
        <v>23</v>
      </c>
      <c r="B17" s="146">
        <f>0</f>
        <v>0</v>
      </c>
      <c r="C17" s="146">
        <f>0</f>
        <v>0</v>
      </c>
      <c r="D17" s="146">
        <f>0</f>
        <v>0</v>
      </c>
      <c r="E17" s="146">
        <f>0</f>
        <v>0</v>
      </c>
      <c r="F17" s="146">
        <v>1000</v>
      </c>
      <c r="G17" s="146">
        <v>0</v>
      </c>
      <c r="H17" s="146">
        <v>-1000</v>
      </c>
      <c r="I17" s="146">
        <v>0</v>
      </c>
      <c r="J17" s="146">
        <v>0</v>
      </c>
      <c r="K17" s="146">
        <v>0</v>
      </c>
      <c r="L17" s="146">
        <v>0</v>
      </c>
      <c r="M17" s="12">
        <f>0</f>
        <v>0</v>
      </c>
      <c r="N17" s="146">
        <f>SUM(B17:M17)</f>
        <v>0</v>
      </c>
      <c r="O17" s="26">
        <v>55000</v>
      </c>
      <c r="P17" s="311">
        <f>N17-O17</f>
        <v>-55000</v>
      </c>
      <c r="Q17" s="27" t="s">
        <v>24</v>
      </c>
      <c r="R17" s="312">
        <f>0</f>
        <v>0</v>
      </c>
      <c r="S17" s="146">
        <f>0</f>
        <v>0</v>
      </c>
      <c r="T17" s="146">
        <f>0</f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8918.66</v>
      </c>
      <c r="AD17" s="146">
        <f>SUM(Q17:AC17)</f>
        <v>8918.66</v>
      </c>
      <c r="AE17" s="26">
        <v>0</v>
      </c>
      <c r="AF17" s="26"/>
      <c r="AG17" s="146">
        <f>AD17-AE17</f>
        <v>8918.66</v>
      </c>
      <c r="AH17" s="26">
        <f>AE17-AG17</f>
        <v>-8918.66</v>
      </c>
      <c r="AI17" s="128"/>
      <c r="AJ17" s="27"/>
      <c r="AK17" s="12">
        <f>0</f>
        <v>0</v>
      </c>
      <c r="AL17" s="12">
        <f>0</f>
        <v>0</v>
      </c>
      <c r="AM17" s="12">
        <f>0</f>
        <v>0</v>
      </c>
      <c r="AN17" s="12">
        <f>0</f>
        <v>0</v>
      </c>
      <c r="AO17" s="12">
        <f>0</f>
        <v>0</v>
      </c>
      <c r="AP17" s="12">
        <f>0</f>
        <v>0</v>
      </c>
      <c r="AQ17" s="12">
        <f>0</f>
        <v>0</v>
      </c>
      <c r="AR17" s="12">
        <f>0</f>
        <v>0</v>
      </c>
      <c r="AS17" s="12">
        <f>0</f>
        <v>0</v>
      </c>
      <c r="AT17" s="12">
        <f>0</f>
        <v>0</v>
      </c>
      <c r="AU17" s="12">
        <f>0</f>
        <v>0</v>
      </c>
      <c r="AV17" s="12">
        <f>0</f>
        <v>0</v>
      </c>
      <c r="AW17" s="146">
        <f>SUM(AK17:AV17)</f>
        <v>0</v>
      </c>
      <c r="AX17" s="146">
        <f t="shared" ref="AX17:AX80" si="7">AD17</f>
        <v>8918.66</v>
      </c>
    </row>
    <row r="18" spans="1:51">
      <c r="A18" s="4" t="s">
        <v>25</v>
      </c>
      <c r="B18" s="146">
        <v>0</v>
      </c>
      <c r="C18" s="146">
        <v>0</v>
      </c>
      <c r="D18" s="146">
        <f>0</f>
        <v>0</v>
      </c>
      <c r="E18" s="146">
        <f>0</f>
        <v>0</v>
      </c>
      <c r="F18" s="146">
        <f>0</f>
        <v>0</v>
      </c>
      <c r="G18" s="146">
        <f>0</f>
        <v>0</v>
      </c>
      <c r="H18" s="146">
        <f>0</f>
        <v>0</v>
      </c>
      <c r="I18" s="146">
        <f>0</f>
        <v>0</v>
      </c>
      <c r="J18" s="146">
        <v>0</v>
      </c>
      <c r="K18" s="146">
        <v>0</v>
      </c>
      <c r="L18" s="146">
        <v>0</v>
      </c>
      <c r="M18" s="12">
        <f>0</f>
        <v>0</v>
      </c>
      <c r="N18" s="146">
        <f>SUM(B18:M18)</f>
        <v>0</v>
      </c>
      <c r="O18" s="12">
        <v>1000</v>
      </c>
      <c r="P18" s="311">
        <f>N18-O18</f>
        <v>-1000</v>
      </c>
      <c r="Q18" s="27"/>
      <c r="R18" s="312">
        <v>0</v>
      </c>
      <c r="S18" s="146">
        <f>0</f>
        <v>0</v>
      </c>
      <c r="T18" s="146">
        <f>0</f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f>SUM(Q18:AC18)</f>
        <v>0</v>
      </c>
      <c r="AE18" s="26">
        <v>0</v>
      </c>
      <c r="AF18" s="26"/>
      <c r="AG18" s="146">
        <f>AD18-AE18</f>
        <v>0</v>
      </c>
      <c r="AH18" s="138">
        <f>AE18-AG18</f>
        <v>0</v>
      </c>
      <c r="AI18" s="128"/>
      <c r="AJ18" s="27"/>
      <c r="AK18" s="12">
        <v>0</v>
      </c>
      <c r="AL18" s="12">
        <f>0</f>
        <v>0</v>
      </c>
      <c r="AM18" s="12">
        <f>0</f>
        <v>0</v>
      </c>
      <c r="AN18" s="12">
        <f>0</f>
        <v>0</v>
      </c>
      <c r="AO18" s="12">
        <f>0</f>
        <v>0</v>
      </c>
      <c r="AP18" s="12">
        <f>0</f>
        <v>0</v>
      </c>
      <c r="AQ18" s="12">
        <f>0</f>
        <v>0</v>
      </c>
      <c r="AR18" s="12">
        <f>0</f>
        <v>0</v>
      </c>
      <c r="AS18" s="12">
        <f>0</f>
        <v>0</v>
      </c>
      <c r="AT18" s="12">
        <f>0</f>
        <v>0</v>
      </c>
      <c r="AU18" s="12">
        <f>0</f>
        <v>0</v>
      </c>
      <c r="AV18" s="12">
        <f>0</f>
        <v>0</v>
      </c>
      <c r="AW18" s="146">
        <f>SUM(AK18:AV18)</f>
        <v>0</v>
      </c>
      <c r="AX18" s="315">
        <f t="shared" si="7"/>
        <v>0</v>
      </c>
    </row>
    <row r="19" spans="1:51" s="91" customFormat="1">
      <c r="A19" s="1" t="s">
        <v>26</v>
      </c>
      <c r="B19" s="316">
        <f>SUM(B16:B18)</f>
        <v>0</v>
      </c>
      <c r="C19" s="316">
        <f t="shared" ref="C19:N19" si="8">SUM(C16:C18)</f>
        <v>0</v>
      </c>
      <c r="D19" s="316">
        <f t="shared" si="8"/>
        <v>142.66</v>
      </c>
      <c r="E19" s="316">
        <f t="shared" si="8"/>
        <v>3142.66</v>
      </c>
      <c r="F19" s="316">
        <f t="shared" si="8"/>
        <v>1142.6600000000001</v>
      </c>
      <c r="G19" s="316">
        <f t="shared" si="8"/>
        <v>930.17</v>
      </c>
      <c r="H19" s="316">
        <f t="shared" si="8"/>
        <v>-8949.75</v>
      </c>
      <c r="I19" s="316">
        <f t="shared" si="8"/>
        <v>0</v>
      </c>
      <c r="J19" s="316">
        <f t="shared" si="8"/>
        <v>0</v>
      </c>
      <c r="K19" s="316">
        <f t="shared" si="8"/>
        <v>0</v>
      </c>
      <c r="L19" s="316">
        <f t="shared" si="8"/>
        <v>0</v>
      </c>
      <c r="M19" s="20">
        <f t="shared" si="8"/>
        <v>0</v>
      </c>
      <c r="N19" s="316">
        <f t="shared" si="8"/>
        <v>-3591.6000000000004</v>
      </c>
      <c r="O19" s="20">
        <f>SUM(O15:O18)</f>
        <v>107000</v>
      </c>
      <c r="P19" s="20">
        <f>SUM(P15:P18)</f>
        <v>-110591.6</v>
      </c>
      <c r="Q19" s="27"/>
      <c r="R19" s="317">
        <f>SUM(R16:R18)</f>
        <v>0</v>
      </c>
      <c r="S19" s="316">
        <f t="shared" ref="S19:AD19" si="9">SUM(S16:S18)</f>
        <v>0</v>
      </c>
      <c r="T19" s="316">
        <f t="shared" si="9"/>
        <v>0</v>
      </c>
      <c r="U19" s="316">
        <f t="shared" si="9"/>
        <v>0</v>
      </c>
      <c r="V19" s="316">
        <f t="shared" si="9"/>
        <v>0</v>
      </c>
      <c r="W19" s="316">
        <f t="shared" si="9"/>
        <v>0</v>
      </c>
      <c r="X19" s="316">
        <f t="shared" si="9"/>
        <v>0</v>
      </c>
      <c r="Y19" s="316">
        <f t="shared" si="9"/>
        <v>0</v>
      </c>
      <c r="Z19" s="316">
        <f t="shared" si="9"/>
        <v>0</v>
      </c>
      <c r="AA19" s="316">
        <f t="shared" si="9"/>
        <v>754.27</v>
      </c>
      <c r="AB19" s="316">
        <f t="shared" si="9"/>
        <v>2659.87</v>
      </c>
      <c r="AC19" s="316">
        <f>SUM(AC16:AC18)</f>
        <v>8918.66</v>
      </c>
      <c r="AD19" s="316">
        <f t="shared" si="9"/>
        <v>12332.8</v>
      </c>
      <c r="AE19" s="318">
        <f>SUM(AE16:AE18)</f>
        <v>0</v>
      </c>
      <c r="AF19" s="318"/>
      <c r="AG19" s="316">
        <f>AD19-AE19</f>
        <v>12332.8</v>
      </c>
      <c r="AH19" s="26">
        <f>AE19-AG19</f>
        <v>-12332.8</v>
      </c>
      <c r="AI19" s="128">
        <f t="shared" si="6"/>
        <v>-1</v>
      </c>
      <c r="AJ19" s="131"/>
      <c r="AK19" s="20">
        <f>SUM(AK16:AK18)</f>
        <v>0</v>
      </c>
      <c r="AL19" s="20">
        <f t="shared" ref="AL19:AW19" si="10">SUM(AL16:AL18)</f>
        <v>0</v>
      </c>
      <c r="AM19" s="20">
        <f t="shared" si="10"/>
        <v>0</v>
      </c>
      <c r="AN19" s="20">
        <f t="shared" si="10"/>
        <v>0</v>
      </c>
      <c r="AO19" s="20">
        <f t="shared" si="10"/>
        <v>0</v>
      </c>
      <c r="AP19" s="20">
        <f t="shared" si="10"/>
        <v>0</v>
      </c>
      <c r="AQ19" s="20">
        <f t="shared" si="10"/>
        <v>0</v>
      </c>
      <c r="AR19" s="20">
        <f t="shared" si="10"/>
        <v>0</v>
      </c>
      <c r="AS19" s="20">
        <f t="shared" si="10"/>
        <v>0</v>
      </c>
      <c r="AT19" s="20">
        <f t="shared" si="10"/>
        <v>0</v>
      </c>
      <c r="AU19" s="20">
        <f t="shared" si="10"/>
        <v>0</v>
      </c>
      <c r="AV19" s="20">
        <f t="shared" si="10"/>
        <v>0</v>
      </c>
      <c r="AW19" s="316">
        <f t="shared" si="10"/>
        <v>0</v>
      </c>
      <c r="AX19" s="163">
        <f t="shared" si="7"/>
        <v>12332.8</v>
      </c>
      <c r="AY19" s="27" t="s">
        <v>427</v>
      </c>
    </row>
    <row r="20" spans="1:51" ht="6" customHeight="1">
      <c r="A20" s="4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13"/>
      <c r="N20" s="319"/>
      <c r="O20" s="13"/>
      <c r="P20" s="292"/>
      <c r="Q20" s="27"/>
      <c r="R20" s="320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21"/>
      <c r="AF20" s="321"/>
      <c r="AG20" s="319"/>
      <c r="AH20" s="321"/>
      <c r="AI20" s="128"/>
      <c r="AJ20" s="27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319"/>
      <c r="AX20" s="146"/>
    </row>
    <row r="21" spans="1:51">
      <c r="A21" s="1" t="s">
        <v>27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2"/>
      <c r="N21" s="146"/>
      <c r="O21" s="12"/>
      <c r="P21" s="292"/>
      <c r="Q21" s="27"/>
      <c r="R21" s="312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>
        <v>396</v>
      </c>
      <c r="AE21" s="26"/>
      <c r="AF21" s="26"/>
      <c r="AG21" s="146"/>
      <c r="AH21" s="26"/>
      <c r="AI21" s="128"/>
      <c r="AJ21" s="27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46"/>
      <c r="AX21" s="146">
        <f t="shared" si="7"/>
        <v>396</v>
      </c>
    </row>
    <row r="22" spans="1:51">
      <c r="A22" s="30" t="s">
        <v>126</v>
      </c>
      <c r="B22" s="146">
        <f>0</f>
        <v>0</v>
      </c>
      <c r="C22" s="146">
        <f>0</f>
        <v>0</v>
      </c>
      <c r="D22" s="146">
        <v>200.01</v>
      </c>
      <c r="E22" s="146">
        <v>0</v>
      </c>
      <c r="F22" s="146">
        <v>973.75</v>
      </c>
      <c r="G22" s="146">
        <v>0</v>
      </c>
      <c r="H22" s="146">
        <f>0</f>
        <v>0</v>
      </c>
      <c r="I22" s="146">
        <f>0</f>
        <v>0</v>
      </c>
      <c r="J22" s="146">
        <f>0</f>
        <v>0</v>
      </c>
      <c r="K22" s="146">
        <v>570.4</v>
      </c>
      <c r="L22" s="146">
        <f>0</f>
        <v>0</v>
      </c>
      <c r="M22" s="12">
        <v>0.09</v>
      </c>
      <c r="N22" s="146">
        <f>SUM(B22:M22)</f>
        <v>1744.2499999999998</v>
      </c>
      <c r="O22" s="12">
        <v>0</v>
      </c>
      <c r="P22" s="311">
        <f>O22-N22</f>
        <v>-1744.2499999999998</v>
      </c>
      <c r="Q22" s="27"/>
      <c r="R22" s="312">
        <f>-54.05+0.04</f>
        <v>-54.01</v>
      </c>
      <c r="S22" s="146">
        <f>396+0.03</f>
        <v>396.03</v>
      </c>
      <c r="T22" s="146">
        <v>0.04</v>
      </c>
      <c r="U22" s="146">
        <v>0.04</v>
      </c>
      <c r="V22" s="146">
        <f>0</f>
        <v>0</v>
      </c>
      <c r="W22" s="146">
        <v>0</v>
      </c>
      <c r="X22" s="146">
        <v>1017.98</v>
      </c>
      <c r="Y22" s="146">
        <f>0</f>
        <v>0</v>
      </c>
      <c r="Z22" s="146">
        <f>0</f>
        <v>0</v>
      </c>
      <c r="AA22" s="146">
        <v>942.71</v>
      </c>
      <c r="AB22" s="146">
        <v>836.85</v>
      </c>
      <c r="AC22" s="146">
        <f>0</f>
        <v>0</v>
      </c>
      <c r="AD22" s="146">
        <v>2797.54</v>
      </c>
      <c r="AE22" s="26">
        <v>0</v>
      </c>
      <c r="AF22" s="26"/>
      <c r="AG22" s="146">
        <f>AD22-AE22</f>
        <v>2797.54</v>
      </c>
      <c r="AH22" s="26">
        <f>AE22-AG22</f>
        <v>-2797.54</v>
      </c>
      <c r="AI22" s="128">
        <f>AH22/AG22</f>
        <v>-1</v>
      </c>
      <c r="AJ22" s="27"/>
      <c r="AK22" s="12">
        <f>0</f>
        <v>0</v>
      </c>
      <c r="AL22" s="12">
        <f>0</f>
        <v>0</v>
      </c>
      <c r="AM22" s="12">
        <v>0</v>
      </c>
      <c r="AN22" s="12">
        <v>0</v>
      </c>
      <c r="AO22" s="12">
        <f>0</f>
        <v>0</v>
      </c>
      <c r="AP22" s="12">
        <v>0</v>
      </c>
      <c r="AQ22" s="12">
        <f>0</f>
        <v>0</v>
      </c>
      <c r="AR22" s="12">
        <f>0</f>
        <v>0</v>
      </c>
      <c r="AS22" s="12">
        <f>0</f>
        <v>0</v>
      </c>
      <c r="AT22" s="12">
        <f>0</f>
        <v>0</v>
      </c>
      <c r="AU22" s="12">
        <f>0</f>
        <v>0</v>
      </c>
      <c r="AV22" s="12">
        <f>0</f>
        <v>0</v>
      </c>
      <c r="AW22" s="146">
        <f>SUM(AK22:AV22)</f>
        <v>0</v>
      </c>
      <c r="AX22" s="146">
        <f t="shared" si="7"/>
        <v>2797.54</v>
      </c>
    </row>
    <row r="23" spans="1:51">
      <c r="A23" s="30" t="s">
        <v>127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1"/>
      <c r="O23" s="290"/>
      <c r="P23" s="292"/>
      <c r="Q23" s="290"/>
      <c r="R23" s="293"/>
      <c r="S23" s="290"/>
      <c r="T23" s="290"/>
      <c r="U23" s="290"/>
      <c r="V23" s="290"/>
      <c r="W23" s="290"/>
      <c r="X23" s="290"/>
      <c r="Y23" s="146">
        <v>0.16</v>
      </c>
      <c r="Z23" s="146">
        <v>0.02</v>
      </c>
      <c r="AA23" s="146"/>
      <c r="AB23" s="146"/>
      <c r="AC23" s="146"/>
      <c r="AD23" s="146">
        <v>0.33</v>
      </c>
      <c r="AE23" s="12"/>
      <c r="AF23" s="294"/>
      <c r="AG23" s="291"/>
      <c r="AH23" s="294"/>
      <c r="AI23" s="294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1"/>
      <c r="AX23" s="146">
        <f t="shared" si="7"/>
        <v>0.33</v>
      </c>
    </row>
    <row r="24" spans="1:51" s="150" customFormat="1">
      <c r="A24" s="30" t="s">
        <v>128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1"/>
      <c r="O24" s="290"/>
      <c r="P24" s="292"/>
      <c r="Q24" s="290"/>
      <c r="R24" s="293"/>
      <c r="S24" s="290"/>
      <c r="T24" s="290"/>
      <c r="U24" s="290"/>
      <c r="V24" s="290"/>
      <c r="W24" s="290"/>
      <c r="X24" s="290"/>
      <c r="Y24" s="146"/>
      <c r="Z24" s="146"/>
      <c r="AA24" s="146">
        <v>57.58</v>
      </c>
      <c r="AB24" s="146"/>
      <c r="AC24" s="146"/>
      <c r="AD24" s="146">
        <v>3.53</v>
      </c>
      <c r="AE24" s="12"/>
      <c r="AF24" s="294"/>
      <c r="AG24" s="291"/>
      <c r="AH24" s="294"/>
      <c r="AI24" s="294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1"/>
      <c r="AX24" s="315">
        <f t="shared" si="7"/>
        <v>3.53</v>
      </c>
      <c r="AY24" s="27"/>
    </row>
    <row r="25" spans="1:51">
      <c r="A25" s="4" t="s">
        <v>29</v>
      </c>
      <c r="B25" s="316">
        <f t="shared" ref="B25:P25" si="11">B22</f>
        <v>0</v>
      </c>
      <c r="C25" s="316">
        <f t="shared" si="11"/>
        <v>0</v>
      </c>
      <c r="D25" s="316">
        <f t="shared" si="11"/>
        <v>200.01</v>
      </c>
      <c r="E25" s="316">
        <f t="shared" si="11"/>
        <v>0</v>
      </c>
      <c r="F25" s="316">
        <f t="shared" si="11"/>
        <v>973.75</v>
      </c>
      <c r="G25" s="316">
        <f t="shared" si="11"/>
        <v>0</v>
      </c>
      <c r="H25" s="316">
        <f t="shared" si="11"/>
        <v>0</v>
      </c>
      <c r="I25" s="316">
        <f t="shared" si="11"/>
        <v>0</v>
      </c>
      <c r="J25" s="316">
        <f t="shared" si="11"/>
        <v>0</v>
      </c>
      <c r="K25" s="316">
        <f t="shared" si="11"/>
        <v>570.4</v>
      </c>
      <c r="L25" s="316">
        <f t="shared" si="11"/>
        <v>0</v>
      </c>
      <c r="M25" s="20">
        <f t="shared" si="11"/>
        <v>0.09</v>
      </c>
      <c r="N25" s="316">
        <f t="shared" si="11"/>
        <v>1744.2499999999998</v>
      </c>
      <c r="O25" s="20">
        <f t="shared" si="11"/>
        <v>0</v>
      </c>
      <c r="P25" s="20">
        <f t="shared" si="11"/>
        <v>-1744.2499999999998</v>
      </c>
      <c r="Q25" s="27"/>
      <c r="R25" s="317">
        <f t="shared" ref="R25:X25" si="12">R22</f>
        <v>-54.01</v>
      </c>
      <c r="S25" s="316">
        <f t="shared" si="12"/>
        <v>396.03</v>
      </c>
      <c r="T25" s="316">
        <f t="shared" si="12"/>
        <v>0.04</v>
      </c>
      <c r="U25" s="316">
        <f t="shared" si="12"/>
        <v>0.04</v>
      </c>
      <c r="V25" s="316">
        <f t="shared" si="12"/>
        <v>0</v>
      </c>
      <c r="W25" s="316">
        <f t="shared" si="12"/>
        <v>0</v>
      </c>
      <c r="X25" s="316">
        <f t="shared" si="12"/>
        <v>1017.98</v>
      </c>
      <c r="Y25" s="316">
        <f>SUM(Y22:Y23)</f>
        <v>0.16</v>
      </c>
      <c r="Z25" s="316">
        <f t="shared" ref="Z25:AE25" si="13">SUM(Z22:Z23)</f>
        <v>0.02</v>
      </c>
      <c r="AA25" s="316">
        <f>SUM(AA22:AA24)</f>
        <v>1000.2900000000001</v>
      </c>
      <c r="AB25" s="316">
        <f t="shared" si="13"/>
        <v>836.85</v>
      </c>
      <c r="AC25" s="316">
        <f t="shared" si="13"/>
        <v>0</v>
      </c>
      <c r="AD25" s="316">
        <f>SUM(AD21:AD24)</f>
        <v>3197.4</v>
      </c>
      <c r="AE25" s="20">
        <f t="shared" si="13"/>
        <v>0</v>
      </c>
      <c r="AF25" s="318"/>
      <c r="AG25" s="316">
        <f>AD25-AE25</f>
        <v>3197.4</v>
      </c>
      <c r="AH25" s="26">
        <f>AE25-AG25</f>
        <v>-3197.4</v>
      </c>
      <c r="AI25" s="128">
        <f t="shared" si="6"/>
        <v>-1</v>
      </c>
      <c r="AJ25" s="27"/>
      <c r="AK25" s="20">
        <f t="shared" ref="AK25:AW25" si="14">AK22</f>
        <v>0</v>
      </c>
      <c r="AL25" s="20">
        <f t="shared" si="14"/>
        <v>0</v>
      </c>
      <c r="AM25" s="20">
        <f t="shared" si="14"/>
        <v>0</v>
      </c>
      <c r="AN25" s="20">
        <f t="shared" si="14"/>
        <v>0</v>
      </c>
      <c r="AO25" s="20">
        <f t="shared" si="14"/>
        <v>0</v>
      </c>
      <c r="AP25" s="20">
        <f t="shared" si="14"/>
        <v>0</v>
      </c>
      <c r="AQ25" s="20">
        <f t="shared" si="14"/>
        <v>0</v>
      </c>
      <c r="AR25" s="20">
        <f t="shared" si="14"/>
        <v>0</v>
      </c>
      <c r="AS25" s="20">
        <f t="shared" si="14"/>
        <v>0</v>
      </c>
      <c r="AT25" s="20">
        <f t="shared" si="14"/>
        <v>0</v>
      </c>
      <c r="AU25" s="20">
        <f t="shared" si="14"/>
        <v>0</v>
      </c>
      <c r="AV25" s="20">
        <f t="shared" si="14"/>
        <v>0</v>
      </c>
      <c r="AW25" s="316">
        <f t="shared" si="14"/>
        <v>0</v>
      </c>
      <c r="AX25" s="163">
        <f t="shared" si="7"/>
        <v>3197.4</v>
      </c>
    </row>
    <row r="26" spans="1:51" ht="6" customHeight="1">
      <c r="A26" s="4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13"/>
      <c r="N26" s="319"/>
      <c r="O26" s="13"/>
      <c r="P26" s="292"/>
      <c r="Q26" s="27"/>
      <c r="R26" s="320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21"/>
      <c r="AF26" s="321"/>
      <c r="AG26" s="319"/>
      <c r="AH26" s="321"/>
      <c r="AI26" s="128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319"/>
      <c r="AX26" s="146"/>
    </row>
    <row r="27" spans="1:51">
      <c r="A27" s="1" t="s">
        <v>30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2"/>
      <c r="N27" s="146"/>
      <c r="O27" s="12"/>
      <c r="P27" s="292"/>
      <c r="Q27" s="27"/>
      <c r="R27" s="312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26"/>
      <c r="AF27" s="26"/>
      <c r="AG27" s="146"/>
      <c r="AH27" s="26"/>
      <c r="AI27" s="128"/>
      <c r="AJ27" s="27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46"/>
      <c r="AX27" s="146"/>
    </row>
    <row r="28" spans="1:51">
      <c r="A28" s="4" t="s">
        <v>31</v>
      </c>
      <c r="B28" s="146">
        <v>111</v>
      </c>
      <c r="C28" s="146">
        <v>548.66</v>
      </c>
      <c r="D28" s="146">
        <v>43.11</v>
      </c>
      <c r="E28" s="146">
        <v>0</v>
      </c>
      <c r="F28" s="146">
        <v>66.599999999999994</v>
      </c>
      <c r="G28" s="146">
        <v>19.09</v>
      </c>
      <c r="H28" s="146">
        <v>49.95</v>
      </c>
      <c r="I28" s="146">
        <v>46.59</v>
      </c>
      <c r="J28" s="146">
        <v>29.46</v>
      </c>
      <c r="K28" s="146">
        <v>35.28</v>
      </c>
      <c r="L28" s="146">
        <v>55.75</v>
      </c>
      <c r="M28" s="12">
        <v>36.630000000000003</v>
      </c>
      <c r="N28" s="146">
        <f>(((((((((((B28)+(C28))+(D28))+(E28))+(F28))+(G28))+(H28))+(I28))+(J28))+(K28))+(L28))+(M28)</f>
        <v>1042.1200000000001</v>
      </c>
      <c r="O28" s="12">
        <v>600</v>
      </c>
      <c r="P28" s="311">
        <f t="shared" ref="P28:P35" si="15">N28-O28</f>
        <v>442.12000000000012</v>
      </c>
      <c r="Q28" s="27"/>
      <c r="R28" s="312">
        <v>27.75</v>
      </c>
      <c r="S28" s="146">
        <v>88.4</v>
      </c>
      <c r="T28" s="146">
        <v>0</v>
      </c>
      <c r="U28" s="146">
        <v>40.68</v>
      </c>
      <c r="V28" s="146">
        <v>0</v>
      </c>
      <c r="W28" s="146">
        <v>0</v>
      </c>
      <c r="X28" s="146">
        <v>59.93</v>
      </c>
      <c r="Y28" s="146">
        <v>0</v>
      </c>
      <c r="Z28" s="146">
        <v>0</v>
      </c>
      <c r="AA28" s="146">
        <v>5.04</v>
      </c>
      <c r="AB28" s="146">
        <v>4.03</v>
      </c>
      <c r="AC28" s="146">
        <v>0</v>
      </c>
      <c r="AD28" s="146">
        <v>228.78</v>
      </c>
      <c r="AE28" s="26">
        <v>1050</v>
      </c>
      <c r="AF28" s="26"/>
      <c r="AG28" s="146">
        <f>AD28-AE28</f>
        <v>-821.22</v>
      </c>
      <c r="AH28" s="26">
        <f>AE28-AG28</f>
        <v>1871.22</v>
      </c>
      <c r="AI28" s="128">
        <f t="shared" si="6"/>
        <v>-2.2785855191057207</v>
      </c>
      <c r="AJ28" s="27"/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46">
        <f>(((((((((((AK28)+(AL28))+(AM28))+(AN28))+(AO28))+(AP28))+(AQ28))+(AR28))+(AS28))+(AT28))+(AU28))+(AV28)</f>
        <v>0</v>
      </c>
      <c r="AX28" s="146">
        <f t="shared" si="7"/>
        <v>228.78</v>
      </c>
    </row>
    <row r="29" spans="1:51">
      <c r="A29" s="4" t="s">
        <v>129</v>
      </c>
      <c r="B29" s="146">
        <v>10.68</v>
      </c>
      <c r="C29" s="146">
        <v>54.72</v>
      </c>
      <c r="D29" s="146">
        <v>68.400000000000006</v>
      </c>
      <c r="E29" s="146">
        <v>0</v>
      </c>
      <c r="F29" s="146">
        <v>64.88</v>
      </c>
      <c r="G29" s="146">
        <v>6.84</v>
      </c>
      <c r="H29" s="146">
        <v>0</v>
      </c>
      <c r="I29" s="146">
        <v>2420.2199999999998</v>
      </c>
      <c r="J29" s="146">
        <v>-259.2</v>
      </c>
      <c r="K29" s="146">
        <f>78.99-394.29</f>
        <v>-315.3</v>
      </c>
      <c r="L29" s="146">
        <v>-27.4</v>
      </c>
      <c r="M29" s="12">
        <v>-20.75</v>
      </c>
      <c r="N29" s="146">
        <f>SUM(B29:M29)</f>
        <v>2003.0899999999997</v>
      </c>
      <c r="O29" s="12">
        <v>600</v>
      </c>
      <c r="P29" s="311">
        <f t="shared" si="15"/>
        <v>1403.0899999999997</v>
      </c>
      <c r="Q29" s="27"/>
      <c r="R29" s="312">
        <v>0</v>
      </c>
      <c r="S29" s="146">
        <v>-7.84</v>
      </c>
      <c r="T29" s="146">
        <v>20</v>
      </c>
      <c r="U29" s="146">
        <v>0</v>
      </c>
      <c r="V29" s="146">
        <f>97.31-17.36</f>
        <v>79.95</v>
      </c>
      <c r="W29" s="146">
        <v>55.26</v>
      </c>
      <c r="X29" s="146">
        <v>14.23</v>
      </c>
      <c r="Y29" s="146">
        <v>0</v>
      </c>
      <c r="Z29" s="146">
        <v>7.99</v>
      </c>
      <c r="AA29" s="146"/>
      <c r="AB29" s="146">
        <v>759.29</v>
      </c>
      <c r="AC29" s="146">
        <v>500</v>
      </c>
      <c r="AD29" s="146">
        <v>1425.93</v>
      </c>
      <c r="AE29" s="26">
        <v>2000</v>
      </c>
      <c r="AF29" s="26"/>
      <c r="AG29" s="146">
        <f t="shared" ref="AG29:AG35" si="16">AD29-AE29</f>
        <v>-574.06999999999994</v>
      </c>
      <c r="AH29" s="26">
        <f t="shared" ref="AH29:AH36" si="17">AE29-AG29</f>
        <v>2574.0699999999997</v>
      </c>
      <c r="AI29" s="128">
        <f t="shared" si="6"/>
        <v>-4.4838956921629762</v>
      </c>
      <c r="AJ29" s="27" t="s">
        <v>428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46">
        <f>SUM(AK29:AV29)</f>
        <v>0</v>
      </c>
      <c r="AX29" s="146">
        <f t="shared" si="7"/>
        <v>1425.93</v>
      </c>
    </row>
    <row r="30" spans="1:51">
      <c r="A30" s="4" t="s">
        <v>130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2"/>
      <c r="N30" s="146"/>
      <c r="O30" s="12"/>
      <c r="P30" s="311">
        <f t="shared" si="15"/>
        <v>0</v>
      </c>
      <c r="Q30" s="27"/>
      <c r="R30" s="312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26"/>
      <c r="AF30" s="26"/>
      <c r="AG30" s="146"/>
      <c r="AH30" s="26"/>
      <c r="AI30" s="128"/>
      <c r="AJ30" s="27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46"/>
      <c r="AX30" s="146"/>
    </row>
    <row r="31" spans="1:51">
      <c r="A31" s="4" t="s">
        <v>131</v>
      </c>
      <c r="B31" s="146">
        <v>0</v>
      </c>
      <c r="C31" s="146">
        <v>10000</v>
      </c>
      <c r="D31" s="146">
        <v>10000</v>
      </c>
      <c r="E31" s="146">
        <v>10000</v>
      </c>
      <c r="F31" s="146">
        <v>0</v>
      </c>
      <c r="G31" s="146">
        <v>10000</v>
      </c>
      <c r="H31" s="146">
        <v>26666.07</v>
      </c>
      <c r="I31" s="146">
        <v>11666.67</v>
      </c>
      <c r="J31" s="146">
        <v>11666.67</v>
      </c>
      <c r="K31" s="146">
        <v>11666.67</v>
      </c>
      <c r="L31" s="146"/>
      <c r="M31" s="314">
        <v>23333.34</v>
      </c>
      <c r="N31" s="146">
        <f>SUM(B31:M31)</f>
        <v>124999.42</v>
      </c>
      <c r="O31" s="12">
        <v>125000.02</v>
      </c>
      <c r="P31" s="311">
        <f t="shared" si="15"/>
        <v>-0.60000000000582077</v>
      </c>
      <c r="Q31" s="27" t="s">
        <v>35</v>
      </c>
      <c r="R31" s="312">
        <v>12666.67</v>
      </c>
      <c r="S31" s="146">
        <v>12666.67</v>
      </c>
      <c r="T31" s="146">
        <v>12666.67</v>
      </c>
      <c r="U31" s="146">
        <v>12666.67</v>
      </c>
      <c r="V31" s="146">
        <v>12666.67</v>
      </c>
      <c r="W31" s="146">
        <v>12666.67</v>
      </c>
      <c r="X31" s="146">
        <v>12666.67</v>
      </c>
      <c r="Y31" s="146">
        <v>12266.67</v>
      </c>
      <c r="Z31" s="146">
        <v>12666.67</v>
      </c>
      <c r="AA31" s="146">
        <v>12666.67</v>
      </c>
      <c r="AB31" s="146">
        <v>12666.67</v>
      </c>
      <c r="AC31" s="146">
        <v>12266.67</v>
      </c>
      <c r="AD31" s="146">
        <v>151600.04</v>
      </c>
      <c r="AE31" s="26">
        <v>152000.04</v>
      </c>
      <c r="AF31" s="26"/>
      <c r="AG31" s="146">
        <f t="shared" si="16"/>
        <v>-400</v>
      </c>
      <c r="AH31" s="26">
        <f t="shared" si="17"/>
        <v>152400.04</v>
      </c>
      <c r="AI31" s="128">
        <f t="shared" si="6"/>
        <v>-381.00010000000003</v>
      </c>
      <c r="AJ31" s="27" t="s">
        <v>429</v>
      </c>
      <c r="AK31" s="161">
        <v>12666.67</v>
      </c>
      <c r="AL31" s="161">
        <v>12666.67</v>
      </c>
      <c r="AM31" s="161">
        <v>12666.67</v>
      </c>
      <c r="AN31" s="161">
        <v>12666.67</v>
      </c>
      <c r="AO31" s="161">
        <v>12666.67</v>
      </c>
      <c r="AP31" s="161">
        <v>12666.67</v>
      </c>
      <c r="AQ31" s="161">
        <v>12666.67</v>
      </c>
      <c r="AR31" s="161">
        <v>12666.67</v>
      </c>
      <c r="AS31" s="161">
        <v>12666.67</v>
      </c>
      <c r="AT31" s="161">
        <v>12666.67</v>
      </c>
      <c r="AU31" s="161">
        <v>12666.67</v>
      </c>
      <c r="AV31" s="161">
        <v>12666.67</v>
      </c>
      <c r="AW31" s="146">
        <f>SUM(AK31:AV31)</f>
        <v>152000.04</v>
      </c>
      <c r="AX31" s="146">
        <f t="shared" si="7"/>
        <v>151600.04</v>
      </c>
    </row>
    <row r="32" spans="1:51">
      <c r="A32" s="31" t="s">
        <v>132</v>
      </c>
      <c r="B32" s="146">
        <v>10833.33</v>
      </c>
      <c r="C32" s="146">
        <v>10833.33</v>
      </c>
      <c r="D32" s="146">
        <v>10833.33</v>
      </c>
      <c r="E32" s="146">
        <v>10833.33</v>
      </c>
      <c r="F32" s="146">
        <v>10833.33</v>
      </c>
      <c r="G32" s="146">
        <v>10743.27</v>
      </c>
      <c r="H32" s="146">
        <v>10833.33</v>
      </c>
      <c r="I32" s="146">
        <v>10833.33</v>
      </c>
      <c r="J32" s="146">
        <v>10833.33</v>
      </c>
      <c r="K32" s="146">
        <v>10833.33</v>
      </c>
      <c r="L32" s="146">
        <v>10833.33</v>
      </c>
      <c r="M32" s="12">
        <v>10833.33</v>
      </c>
      <c r="N32" s="146">
        <f>SUM(B32:M32)</f>
        <v>129909.90000000001</v>
      </c>
      <c r="O32" s="12">
        <v>129996</v>
      </c>
      <c r="P32" s="311">
        <f t="shared" si="15"/>
        <v>-86.099999999991269</v>
      </c>
      <c r="Q32" s="27"/>
      <c r="R32" s="312">
        <v>10833.33</v>
      </c>
      <c r="S32" s="146">
        <v>10833.33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146">
        <f>SUM(Q32:AC32)</f>
        <v>21666.66</v>
      </c>
      <c r="AE32" s="26">
        <v>21666</v>
      </c>
      <c r="AF32" s="26"/>
      <c r="AG32" s="146">
        <f t="shared" si="16"/>
        <v>0.65999999999985448</v>
      </c>
      <c r="AH32" s="26">
        <f t="shared" si="17"/>
        <v>21665.34</v>
      </c>
      <c r="AI32" s="128">
        <f t="shared" si="6"/>
        <v>32826.272727279968</v>
      </c>
      <c r="AJ32" s="27"/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46">
        <f>SUM(AK32:AV32)</f>
        <v>0</v>
      </c>
      <c r="AX32" s="146">
        <f t="shared" si="7"/>
        <v>21666.66</v>
      </c>
    </row>
    <row r="33" spans="1:51">
      <c r="A33" s="31" t="s">
        <v>133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28">
        <v>0</v>
      </c>
      <c r="N33" s="146">
        <f>SUM(B33:M33)</f>
        <v>0</v>
      </c>
      <c r="O33" s="12">
        <v>71666</v>
      </c>
      <c r="P33" s="311">
        <f t="shared" si="15"/>
        <v>-71666</v>
      </c>
      <c r="Q33" s="27" t="s">
        <v>38</v>
      </c>
      <c r="R33" s="312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20000</v>
      </c>
      <c r="Y33" s="146">
        <v>10000</v>
      </c>
      <c r="Z33" s="146">
        <v>10000</v>
      </c>
      <c r="AA33" s="146">
        <v>10000</v>
      </c>
      <c r="AB33" s="146">
        <v>0</v>
      </c>
      <c r="AC33" s="146">
        <v>10000</v>
      </c>
      <c r="AD33" s="146">
        <f>SUM(Q33:AC33)</f>
        <v>60000</v>
      </c>
      <c r="AE33" s="26">
        <v>105000</v>
      </c>
      <c r="AF33" s="26"/>
      <c r="AG33" s="146">
        <f t="shared" si="16"/>
        <v>-45000</v>
      </c>
      <c r="AH33" s="26">
        <f t="shared" si="17"/>
        <v>150000</v>
      </c>
      <c r="AI33" s="128">
        <v>1</v>
      </c>
      <c r="AJ33" s="27" t="s">
        <v>430</v>
      </c>
      <c r="AK33" s="161"/>
      <c r="AL33" s="161">
        <v>12000</v>
      </c>
      <c r="AM33" s="161">
        <v>12000</v>
      </c>
      <c r="AN33" s="161">
        <v>12000</v>
      </c>
      <c r="AO33" s="161">
        <v>12000</v>
      </c>
      <c r="AP33" s="161">
        <v>12000</v>
      </c>
      <c r="AQ33" s="161">
        <v>12000</v>
      </c>
      <c r="AR33" s="161">
        <v>12000</v>
      </c>
      <c r="AS33" s="161">
        <v>12000</v>
      </c>
      <c r="AT33" s="161">
        <v>12000</v>
      </c>
      <c r="AU33" s="161">
        <v>12000</v>
      </c>
      <c r="AV33" s="161">
        <v>12000</v>
      </c>
      <c r="AW33" s="146">
        <f>SUM(AK33:AV33)</f>
        <v>132000</v>
      </c>
      <c r="AX33" s="146">
        <f t="shared" si="7"/>
        <v>60000</v>
      </c>
    </row>
    <row r="34" spans="1:51">
      <c r="A34" s="72" t="s">
        <v>39</v>
      </c>
      <c r="B34" s="146">
        <v>4407</v>
      </c>
      <c r="C34" s="146">
        <v>8390</v>
      </c>
      <c r="D34" s="146">
        <v>8124</v>
      </c>
      <c r="E34" s="146">
        <v>8158</v>
      </c>
      <c r="F34" s="146">
        <v>6778</v>
      </c>
      <c r="G34" s="146">
        <v>6686.66</v>
      </c>
      <c r="H34" s="146">
        <v>10474</v>
      </c>
      <c r="I34" s="146">
        <v>11061</v>
      </c>
      <c r="J34" s="146">
        <v>5795</v>
      </c>
      <c r="K34" s="146">
        <v>6030</v>
      </c>
      <c r="L34" s="146">
        <v>18276</v>
      </c>
      <c r="M34" s="71">
        <v>12461</v>
      </c>
      <c r="N34" s="146">
        <f>SUM(B34:M34)</f>
        <v>106640.66</v>
      </c>
      <c r="O34" s="12">
        <v>139500</v>
      </c>
      <c r="P34" s="311">
        <f t="shared" si="15"/>
        <v>-32859.339999999997</v>
      </c>
      <c r="Q34" s="27" t="s">
        <v>40</v>
      </c>
      <c r="R34" s="312">
        <v>10715</v>
      </c>
      <c r="S34" s="146">
        <v>8428</v>
      </c>
      <c r="T34" s="146">
        <v>6865</v>
      </c>
      <c r="U34" s="146">
        <v>12125</v>
      </c>
      <c r="V34" s="146">
        <v>11850</v>
      </c>
      <c r="W34" s="146">
        <v>8715</v>
      </c>
      <c r="X34" s="146">
        <v>7018</v>
      </c>
      <c r="Y34" s="146">
        <v>9166</v>
      </c>
      <c r="Z34" s="146">
        <v>7078</v>
      </c>
      <c r="AA34" s="146">
        <v>8928</v>
      </c>
      <c r="AB34" s="146">
        <v>7474</v>
      </c>
      <c r="AC34" s="146">
        <v>12088</v>
      </c>
      <c r="AD34" s="146">
        <v>110050</v>
      </c>
      <c r="AE34" s="26">
        <v>190100</v>
      </c>
      <c r="AF34" s="26"/>
      <c r="AG34" s="146">
        <f t="shared" si="16"/>
        <v>-80050</v>
      </c>
      <c r="AH34" s="26">
        <f t="shared" si="17"/>
        <v>270150</v>
      </c>
      <c r="AI34" s="128">
        <f t="shared" si="6"/>
        <v>-3.3747657713928794</v>
      </c>
      <c r="AJ34" s="27" t="s">
        <v>431</v>
      </c>
      <c r="AK34" s="71">
        <f>'StartNew Revenue &amp; Costs'!Q5</f>
        <v>10294</v>
      </c>
      <c r="AL34" s="71">
        <f>'StartNew Revenue &amp; Costs'!R5</f>
        <v>7044</v>
      </c>
      <c r="AM34" s="71">
        <f>'StartNew Revenue &amp; Costs'!S5</f>
        <v>7542.5</v>
      </c>
      <c r="AN34" s="71">
        <f>'StartNew Revenue &amp; Costs'!T5</f>
        <v>8041</v>
      </c>
      <c r="AO34" s="71">
        <f>'StartNew Revenue &amp; Costs'!U5</f>
        <v>8041</v>
      </c>
      <c r="AP34" s="71">
        <f>'StartNew Revenue &amp; Costs'!V5</f>
        <v>6046</v>
      </c>
      <c r="AQ34" s="71">
        <f>'StartNew Revenue &amp; Costs'!W5</f>
        <v>11626</v>
      </c>
      <c r="AR34" s="71">
        <f>'StartNew Revenue &amp; Costs'!X5</f>
        <v>7088.5</v>
      </c>
      <c r="AS34" s="71">
        <f>'StartNew Revenue &amp; Costs'!Y5</f>
        <v>11876.5</v>
      </c>
      <c r="AT34" s="71">
        <f>'StartNew Revenue &amp; Costs'!Z5</f>
        <v>13373.5</v>
      </c>
      <c r="AU34" s="71">
        <f>'StartNew Revenue &amp; Costs'!AA5</f>
        <v>10082.5</v>
      </c>
      <c r="AV34" s="71">
        <f>'StartNew Revenue &amp; Costs'!AB5</f>
        <v>8585.5</v>
      </c>
      <c r="AW34" s="146">
        <f>SUM(AK34:AV34)</f>
        <v>109641</v>
      </c>
      <c r="AX34" s="146">
        <f t="shared" si="7"/>
        <v>110050</v>
      </c>
    </row>
    <row r="35" spans="1:51">
      <c r="A35" s="4" t="s">
        <v>41</v>
      </c>
      <c r="B35" s="146">
        <f>0</f>
        <v>0</v>
      </c>
      <c r="C35" s="146">
        <f>0</f>
        <v>0</v>
      </c>
      <c r="D35" s="146">
        <f>0</f>
        <v>0</v>
      </c>
      <c r="E35" s="146">
        <v>250</v>
      </c>
      <c r="F35" s="146">
        <f>0</f>
        <v>0</v>
      </c>
      <c r="G35" s="146">
        <f>0</f>
        <v>0</v>
      </c>
      <c r="H35" s="146">
        <f>0</f>
        <v>0</v>
      </c>
      <c r="I35" s="146">
        <v>200</v>
      </c>
      <c r="J35" s="146">
        <f>0</f>
        <v>0</v>
      </c>
      <c r="K35" s="146">
        <f>0</f>
        <v>0</v>
      </c>
      <c r="L35" s="146">
        <f>0</f>
        <v>0</v>
      </c>
      <c r="M35" s="12">
        <f>0</f>
        <v>0</v>
      </c>
      <c r="N35" s="146">
        <f>SUM(B35:M35)</f>
        <v>450</v>
      </c>
      <c r="O35" s="12">
        <v>0</v>
      </c>
      <c r="P35" s="311">
        <f t="shared" si="15"/>
        <v>450</v>
      </c>
      <c r="Q35" s="27"/>
      <c r="R35" s="312">
        <v>125</v>
      </c>
      <c r="S35" s="146">
        <f>0</f>
        <v>0</v>
      </c>
      <c r="T35" s="146">
        <v>500</v>
      </c>
      <c r="U35" s="146">
        <f>0</f>
        <v>0</v>
      </c>
      <c r="V35" s="146"/>
      <c r="W35" s="146">
        <v>500</v>
      </c>
      <c r="X35" s="146">
        <v>1475</v>
      </c>
      <c r="Y35" s="146">
        <f>0</f>
        <v>0</v>
      </c>
      <c r="Z35" s="146">
        <v>0</v>
      </c>
      <c r="AA35" s="146">
        <v>2500</v>
      </c>
      <c r="AB35" s="146">
        <v>400</v>
      </c>
      <c r="AC35" s="146">
        <v>225</v>
      </c>
      <c r="AD35" s="146">
        <f>SUM(Q35:AC35)</f>
        <v>5725</v>
      </c>
      <c r="AE35" s="26">
        <v>500</v>
      </c>
      <c r="AF35" s="26"/>
      <c r="AG35" s="146">
        <f t="shared" si="16"/>
        <v>5225</v>
      </c>
      <c r="AH35" s="138">
        <f t="shared" si="17"/>
        <v>-4725</v>
      </c>
      <c r="AI35" s="128">
        <f t="shared" si="6"/>
        <v>-0.90430622009569372</v>
      </c>
      <c r="AJ35" s="27"/>
      <c r="AK35" s="12">
        <f>0</f>
        <v>0</v>
      </c>
      <c r="AL35" s="12">
        <f>0</f>
        <v>0</v>
      </c>
      <c r="AM35" s="12">
        <f>0</f>
        <v>0</v>
      </c>
      <c r="AN35" s="12">
        <f>0</f>
        <v>0</v>
      </c>
      <c r="AO35" s="12">
        <f>0</f>
        <v>0</v>
      </c>
      <c r="AP35" s="12">
        <f>0</f>
        <v>0</v>
      </c>
      <c r="AQ35" s="12">
        <f>0</f>
        <v>0</v>
      </c>
      <c r="AR35" s="12">
        <f>0</f>
        <v>0</v>
      </c>
      <c r="AS35" s="12">
        <f>0</f>
        <v>0</v>
      </c>
      <c r="AT35" s="12">
        <f>0</f>
        <v>0</v>
      </c>
      <c r="AU35" s="12">
        <f>0</f>
        <v>0</v>
      </c>
      <c r="AV35" s="12">
        <f>0</f>
        <v>0</v>
      </c>
      <c r="AW35" s="146">
        <f>SUM(AK35:AV35)</f>
        <v>0</v>
      </c>
      <c r="AX35" s="315">
        <f t="shared" si="7"/>
        <v>5725</v>
      </c>
    </row>
    <row r="36" spans="1:51">
      <c r="A36" s="1" t="s">
        <v>42</v>
      </c>
      <c r="B36" s="316">
        <f>SUM(B28:B35)</f>
        <v>15362.01</v>
      </c>
      <c r="C36" s="316">
        <f t="shared" ref="C36:P36" si="18">SUM(C28:C35)</f>
        <v>29826.71</v>
      </c>
      <c r="D36" s="316">
        <f t="shared" si="18"/>
        <v>29068.84</v>
      </c>
      <c r="E36" s="316">
        <f t="shared" si="18"/>
        <v>29241.33</v>
      </c>
      <c r="F36" s="316">
        <f t="shared" si="18"/>
        <v>17742.809999999998</v>
      </c>
      <c r="G36" s="316">
        <f t="shared" si="18"/>
        <v>27455.86</v>
      </c>
      <c r="H36" s="316">
        <f t="shared" si="18"/>
        <v>48023.35</v>
      </c>
      <c r="I36" s="316">
        <f t="shared" si="18"/>
        <v>36227.81</v>
      </c>
      <c r="J36" s="316">
        <f t="shared" si="18"/>
        <v>28065.260000000002</v>
      </c>
      <c r="K36" s="316">
        <f t="shared" si="18"/>
        <v>28249.98</v>
      </c>
      <c r="L36" s="316">
        <f t="shared" si="18"/>
        <v>29137.68</v>
      </c>
      <c r="M36" s="20">
        <f t="shared" si="18"/>
        <v>46643.55</v>
      </c>
      <c r="N36" s="316">
        <f t="shared" si="18"/>
        <v>365045.19000000006</v>
      </c>
      <c r="O36" s="20">
        <f t="shared" si="18"/>
        <v>467362.02</v>
      </c>
      <c r="P36" s="20">
        <f t="shared" si="18"/>
        <v>-102316.82999999999</v>
      </c>
      <c r="Q36" s="27"/>
      <c r="R36" s="317">
        <f>SUM(R28:R35)</f>
        <v>34367.75</v>
      </c>
      <c r="S36" s="316">
        <f t="shared" ref="S36:AD36" si="19">SUM(S28:S35)</f>
        <v>32008.559999999998</v>
      </c>
      <c r="T36" s="316">
        <f t="shared" si="19"/>
        <v>20051.669999999998</v>
      </c>
      <c r="U36" s="316">
        <f t="shared" si="19"/>
        <v>24832.35</v>
      </c>
      <c r="V36" s="316">
        <f t="shared" si="19"/>
        <v>24596.620000000003</v>
      </c>
      <c r="W36" s="316">
        <f t="shared" si="19"/>
        <v>21936.93</v>
      </c>
      <c r="X36" s="316">
        <f t="shared" si="19"/>
        <v>41233.83</v>
      </c>
      <c r="Y36" s="316">
        <f t="shared" si="19"/>
        <v>31432.67</v>
      </c>
      <c r="Z36" s="316">
        <f t="shared" si="19"/>
        <v>29752.66</v>
      </c>
      <c r="AA36" s="316">
        <f>SUM(AA28:AA35)</f>
        <v>34099.71</v>
      </c>
      <c r="AB36" s="316">
        <f t="shared" si="19"/>
        <v>21303.989999999998</v>
      </c>
      <c r="AC36" s="316">
        <f t="shared" si="19"/>
        <v>35079.67</v>
      </c>
      <c r="AD36" s="316">
        <f t="shared" si="19"/>
        <v>350696.41000000003</v>
      </c>
      <c r="AE36" s="318">
        <f>SUM(AE28:AE35)</f>
        <v>472316.04000000004</v>
      </c>
      <c r="AF36" s="318"/>
      <c r="AG36" s="145">
        <f>AD36-AE36</f>
        <v>-121619.63</v>
      </c>
      <c r="AH36" s="26">
        <f t="shared" si="17"/>
        <v>593935.67000000004</v>
      </c>
      <c r="AI36" s="128">
        <f t="shared" si="6"/>
        <v>-4.8835510353057314</v>
      </c>
      <c r="AJ36" s="27"/>
      <c r="AK36" s="20">
        <f>SUM(AK28:AK35)</f>
        <v>22960.67</v>
      </c>
      <c r="AL36" s="20">
        <f t="shared" ref="AL36:AW36" si="20">SUM(AL28:AL35)</f>
        <v>31710.67</v>
      </c>
      <c r="AM36" s="20">
        <f t="shared" si="20"/>
        <v>32209.17</v>
      </c>
      <c r="AN36" s="20">
        <f t="shared" si="20"/>
        <v>32707.67</v>
      </c>
      <c r="AO36" s="20">
        <f t="shared" si="20"/>
        <v>32707.67</v>
      </c>
      <c r="AP36" s="20">
        <f t="shared" si="20"/>
        <v>30712.67</v>
      </c>
      <c r="AQ36" s="20">
        <f t="shared" si="20"/>
        <v>36292.67</v>
      </c>
      <c r="AR36" s="20">
        <f t="shared" si="20"/>
        <v>31755.17</v>
      </c>
      <c r="AS36" s="20">
        <f t="shared" si="20"/>
        <v>36543.17</v>
      </c>
      <c r="AT36" s="20">
        <f t="shared" si="20"/>
        <v>38040.17</v>
      </c>
      <c r="AU36" s="20">
        <f t="shared" si="20"/>
        <v>34749.17</v>
      </c>
      <c r="AV36" s="20">
        <f t="shared" si="20"/>
        <v>33252.17</v>
      </c>
      <c r="AW36" s="316">
        <f t="shared" si="20"/>
        <v>393641.04000000004</v>
      </c>
      <c r="AX36" s="163">
        <f t="shared" si="7"/>
        <v>350696.41000000003</v>
      </c>
    </row>
    <row r="37" spans="1:51" ht="6" customHeight="1">
      <c r="A37" s="1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13"/>
      <c r="N37" s="319"/>
      <c r="O37" s="13"/>
      <c r="P37" s="292"/>
      <c r="Q37" s="27"/>
      <c r="R37" s="320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13"/>
      <c r="AD37" s="319"/>
      <c r="AE37" s="321"/>
      <c r="AF37" s="321"/>
      <c r="AG37" s="319"/>
      <c r="AH37" s="321"/>
      <c r="AI37" s="128"/>
      <c r="AJ37" s="27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319"/>
      <c r="AX37" s="146"/>
    </row>
    <row r="38" spans="1:51">
      <c r="A38" s="4" t="s">
        <v>43</v>
      </c>
      <c r="B38" s="146">
        <f>0</f>
        <v>0</v>
      </c>
      <c r="C38" s="146">
        <f>0</f>
        <v>0</v>
      </c>
      <c r="D38" s="146">
        <f>0</f>
        <v>0</v>
      </c>
      <c r="E38" s="146">
        <f>0</f>
        <v>0</v>
      </c>
      <c r="F38" s="146">
        <f>0</f>
        <v>0</v>
      </c>
      <c r="G38" s="146">
        <v>0</v>
      </c>
      <c r="H38" s="146">
        <v>0</v>
      </c>
      <c r="I38" s="146">
        <f>0</f>
        <v>0</v>
      </c>
      <c r="J38" s="146">
        <f>0</f>
        <v>0</v>
      </c>
      <c r="K38" s="146">
        <f>0</f>
        <v>0</v>
      </c>
      <c r="L38" s="146">
        <f>0</f>
        <v>0</v>
      </c>
      <c r="M38" s="12">
        <f>0</f>
        <v>0</v>
      </c>
      <c r="N38" s="146">
        <f>SUM(B38:M38)</f>
        <v>0</v>
      </c>
      <c r="O38" s="12">
        <v>0</v>
      </c>
      <c r="P38" s="311">
        <f>N38-O38</f>
        <v>0</v>
      </c>
      <c r="Q38" s="27"/>
      <c r="R38" s="312">
        <f>0</f>
        <v>0</v>
      </c>
      <c r="S38" s="146">
        <f>0</f>
        <v>0</v>
      </c>
      <c r="T38" s="146">
        <f>0</f>
        <v>0</v>
      </c>
      <c r="U38" s="146">
        <f>0</f>
        <v>0</v>
      </c>
      <c r="V38" s="146">
        <f>0</f>
        <v>0</v>
      </c>
      <c r="W38" s="146">
        <v>0</v>
      </c>
      <c r="X38" s="146">
        <v>0</v>
      </c>
      <c r="Y38" s="146">
        <f>0</f>
        <v>0</v>
      </c>
      <c r="Z38" s="146">
        <f>0</f>
        <v>0</v>
      </c>
      <c r="AA38" s="146">
        <f>0</f>
        <v>0</v>
      </c>
      <c r="AB38" s="146">
        <f>0</f>
        <v>0</v>
      </c>
      <c r="AC38" s="12">
        <f>0</f>
        <v>0</v>
      </c>
      <c r="AD38" s="146">
        <f>SUM(Q38:AC38)</f>
        <v>0</v>
      </c>
      <c r="AE38" s="26">
        <v>0</v>
      </c>
      <c r="AF38" s="26"/>
      <c r="AG38" s="146">
        <f>AD38-AE38</f>
        <v>0</v>
      </c>
      <c r="AH38" s="26">
        <f>AE38-AG38</f>
        <v>0</v>
      </c>
      <c r="AI38" s="128"/>
      <c r="AJ38" s="27"/>
      <c r="AK38" s="12">
        <f>0</f>
        <v>0</v>
      </c>
      <c r="AL38" s="12">
        <f>0</f>
        <v>0</v>
      </c>
      <c r="AM38" s="12">
        <f>0</f>
        <v>0</v>
      </c>
      <c r="AN38" s="12">
        <f>0</f>
        <v>0</v>
      </c>
      <c r="AO38" s="12">
        <f>0</f>
        <v>0</v>
      </c>
      <c r="AP38" s="12">
        <v>0</v>
      </c>
      <c r="AQ38" s="12">
        <v>0</v>
      </c>
      <c r="AR38" s="12">
        <f>0</f>
        <v>0</v>
      </c>
      <c r="AS38" s="12">
        <f>0</f>
        <v>0</v>
      </c>
      <c r="AT38" s="12">
        <f>0</f>
        <v>0</v>
      </c>
      <c r="AU38" s="12">
        <f>0</f>
        <v>0</v>
      </c>
      <c r="AV38" s="12">
        <f>0</f>
        <v>0</v>
      </c>
      <c r="AW38" s="146">
        <f>SUM(AK38:AV38)</f>
        <v>0</v>
      </c>
      <c r="AX38" s="146">
        <f t="shared" si="7"/>
        <v>0</v>
      </c>
    </row>
    <row r="39" spans="1:51">
      <c r="A39" s="4" t="s">
        <v>143</v>
      </c>
      <c r="B39" s="146">
        <f>0</f>
        <v>0</v>
      </c>
      <c r="C39" s="146">
        <f>0</f>
        <v>0</v>
      </c>
      <c r="D39" s="146">
        <v>332</v>
      </c>
      <c r="E39" s="146">
        <v>-167</v>
      </c>
      <c r="F39" s="146">
        <v>-167</v>
      </c>
      <c r="G39" s="146">
        <v>-162.66</v>
      </c>
      <c r="H39" s="146">
        <v>0</v>
      </c>
      <c r="I39" s="146">
        <v>0</v>
      </c>
      <c r="J39" s="146">
        <v>0</v>
      </c>
      <c r="K39" s="146">
        <v>0</v>
      </c>
      <c r="L39" s="146">
        <f>0</f>
        <v>0</v>
      </c>
      <c r="M39" s="12">
        <f>0</f>
        <v>0</v>
      </c>
      <c r="N39" s="146">
        <f>SUM(B39:M39)</f>
        <v>-164.66</v>
      </c>
      <c r="O39" s="12">
        <v>0</v>
      </c>
      <c r="P39" s="311">
        <f>N39-O39</f>
        <v>-164.66</v>
      </c>
      <c r="Q39" s="27"/>
      <c r="R39" s="312">
        <v>185</v>
      </c>
      <c r="S39" s="146">
        <v>-185</v>
      </c>
      <c r="T39" s="146">
        <f>0</f>
        <v>0</v>
      </c>
      <c r="U39" s="146">
        <f>0</f>
        <v>0</v>
      </c>
      <c r="V39" s="146">
        <f>0</f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6">
        <f>0</f>
        <v>0</v>
      </c>
      <c r="AC39" s="12">
        <f>0</f>
        <v>0</v>
      </c>
      <c r="AD39" s="146">
        <f>SUM(Q39:AC39)</f>
        <v>0</v>
      </c>
      <c r="AE39" s="26">
        <v>0</v>
      </c>
      <c r="AF39" s="26"/>
      <c r="AG39" s="146">
        <f>AD39-AE39</f>
        <v>0</v>
      </c>
      <c r="AH39" s="26">
        <f>AE39-AG39</f>
        <v>0</v>
      </c>
      <c r="AI39" s="128" t="e">
        <f t="shared" si="6"/>
        <v>#DIV/0!</v>
      </c>
      <c r="AJ39" s="27"/>
      <c r="AK39" s="12">
        <f>0</f>
        <v>0</v>
      </c>
      <c r="AL39" s="12">
        <f>0</f>
        <v>0</v>
      </c>
      <c r="AM39" s="12">
        <f>0</f>
        <v>0</v>
      </c>
      <c r="AN39" s="12">
        <f>0</f>
        <v>0</v>
      </c>
      <c r="AO39" s="12">
        <f>0</f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f>0</f>
        <v>0</v>
      </c>
      <c r="AV39" s="12">
        <f>0</f>
        <v>0</v>
      </c>
      <c r="AW39" s="146">
        <f>SUM(AK39:AV39)</f>
        <v>0</v>
      </c>
      <c r="AX39" s="315">
        <f t="shared" si="7"/>
        <v>0</v>
      </c>
    </row>
    <row r="40" spans="1:51">
      <c r="A40" s="1" t="s">
        <v>45</v>
      </c>
      <c r="B40" s="316">
        <f t="shared" ref="B40:N40" si="21">(((((B13)+(B19))+(B25))+(B36))+(B38))+(B39)</f>
        <v>33061.550000000003</v>
      </c>
      <c r="C40" s="316">
        <f t="shared" si="21"/>
        <v>34889.26</v>
      </c>
      <c r="D40" s="316">
        <f t="shared" si="21"/>
        <v>44458.32</v>
      </c>
      <c r="E40" s="316">
        <f t="shared" si="21"/>
        <v>36310.03</v>
      </c>
      <c r="F40" s="316">
        <f t="shared" si="21"/>
        <v>38541.399999999994</v>
      </c>
      <c r="G40" s="316">
        <f t="shared" si="21"/>
        <v>32008.77</v>
      </c>
      <c r="H40" s="316">
        <f t="shared" si="21"/>
        <v>70459.69</v>
      </c>
      <c r="I40" s="316">
        <f t="shared" si="21"/>
        <v>41269.899999999994</v>
      </c>
      <c r="J40" s="316">
        <f t="shared" si="21"/>
        <v>35249.270000000004</v>
      </c>
      <c r="K40" s="316">
        <f t="shared" si="21"/>
        <v>42457.47</v>
      </c>
      <c r="L40" s="316">
        <f t="shared" si="21"/>
        <v>43946.07</v>
      </c>
      <c r="M40" s="20">
        <f t="shared" si="21"/>
        <v>175073.03999999998</v>
      </c>
      <c r="N40" s="316">
        <f t="shared" si="21"/>
        <v>627724.7699999999</v>
      </c>
      <c r="O40" s="24">
        <f>(((((O13)+(O19))+(O25))+(O36))+(O38))+(O39)</f>
        <v>817199.38</v>
      </c>
      <c r="P40" s="24">
        <f>(((((P13)+(P19))+(P25))+(P36))+(P38))+(P39)</f>
        <v>-192963.11000000002</v>
      </c>
      <c r="Q40" s="24">
        <f t="shared" ref="Q40:AE40" si="22">(((((Q13)+(Q19))+(Q25))+(Q36))+(Q38))+(Q39)</f>
        <v>0</v>
      </c>
      <c r="R40" s="322">
        <f>(((((R13)+(R19))+(R25))+(R36))+(R38))+(R39)</f>
        <v>51467.11</v>
      </c>
      <c r="S40" s="323">
        <f t="shared" si="22"/>
        <v>36963.129999999997</v>
      </c>
      <c r="T40" s="323">
        <f t="shared" si="22"/>
        <v>28842.22</v>
      </c>
      <c r="U40" s="323">
        <f t="shared" si="22"/>
        <v>75465.39</v>
      </c>
      <c r="V40" s="323">
        <f t="shared" si="22"/>
        <v>62889.62</v>
      </c>
      <c r="W40" s="323">
        <f t="shared" si="22"/>
        <v>50721.93</v>
      </c>
      <c r="X40" s="323">
        <f t="shared" si="22"/>
        <v>49615.47</v>
      </c>
      <c r="Y40" s="323">
        <f t="shared" si="22"/>
        <v>36915.159999999996</v>
      </c>
      <c r="Z40" s="323">
        <f t="shared" si="22"/>
        <v>54341.01</v>
      </c>
      <c r="AA40" s="323">
        <f t="shared" si="22"/>
        <v>53476.630000000005</v>
      </c>
      <c r="AB40" s="323">
        <f t="shared" si="22"/>
        <v>40380.089999999997</v>
      </c>
      <c r="AC40" s="24">
        <f t="shared" si="22"/>
        <v>185343.33000000002</v>
      </c>
      <c r="AD40" s="323">
        <f t="shared" si="22"/>
        <v>726421.09000000008</v>
      </c>
      <c r="AE40" s="24">
        <f t="shared" si="22"/>
        <v>761443.4</v>
      </c>
      <c r="AF40" s="24"/>
      <c r="AG40" s="145">
        <f>AD40-AE40</f>
        <v>-35022.309999999939</v>
      </c>
      <c r="AH40" s="324">
        <f>AE40-AG40</f>
        <v>796465.71</v>
      </c>
      <c r="AI40" s="128">
        <f t="shared" si="6"/>
        <v>-22.74166695457842</v>
      </c>
      <c r="AJ40" s="27"/>
      <c r="AK40" s="20">
        <f t="shared" ref="AK40:AW40" si="23">(((((AK13)+(AK19))+(AK25))+(AK36))+(AK38))+(AK39)</f>
        <v>70458.67</v>
      </c>
      <c r="AL40" s="20">
        <f t="shared" si="23"/>
        <v>37262.67</v>
      </c>
      <c r="AM40" s="20">
        <f t="shared" si="23"/>
        <v>44463.17</v>
      </c>
      <c r="AN40" s="20">
        <f t="shared" si="23"/>
        <v>49237.67</v>
      </c>
      <c r="AO40" s="20">
        <f t="shared" si="23"/>
        <v>70957.67</v>
      </c>
      <c r="AP40" s="20">
        <f t="shared" si="23"/>
        <v>46224.67</v>
      </c>
      <c r="AQ40" s="20">
        <f t="shared" si="23"/>
        <v>44475.67</v>
      </c>
      <c r="AR40" s="20">
        <f t="shared" si="23"/>
        <v>38118.17</v>
      </c>
      <c r="AS40" s="20">
        <f t="shared" si="23"/>
        <v>72474.17</v>
      </c>
      <c r="AT40" s="20">
        <f t="shared" si="23"/>
        <v>51758.17</v>
      </c>
      <c r="AU40" s="20">
        <f t="shared" si="23"/>
        <v>51999.17</v>
      </c>
      <c r="AV40" s="20">
        <f t="shared" si="23"/>
        <v>140981.66999999998</v>
      </c>
      <c r="AW40" s="316">
        <f t="shared" si="23"/>
        <v>718411.54</v>
      </c>
      <c r="AX40" s="165">
        <f t="shared" si="7"/>
        <v>726421.09000000008</v>
      </c>
    </row>
    <row r="41" spans="1:51" ht="7" customHeight="1">
      <c r="A41" s="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5"/>
      <c r="N41" s="145"/>
      <c r="O41" s="13"/>
      <c r="P41" s="20"/>
      <c r="Q41" s="27"/>
      <c r="R41" s="32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326"/>
      <c r="AF41" s="326"/>
      <c r="AG41" s="145"/>
      <c r="AH41" s="321"/>
      <c r="AI41" s="128"/>
      <c r="AJ41" s="27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45"/>
      <c r="AX41" s="146"/>
    </row>
    <row r="42" spans="1:51">
      <c r="A42" s="1" t="s">
        <v>46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14"/>
      <c r="N42" s="327"/>
      <c r="O42" s="14"/>
      <c r="P42" s="292"/>
      <c r="Q42" s="27"/>
      <c r="R42" s="328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9"/>
      <c r="AF42" s="329"/>
      <c r="AG42" s="327"/>
      <c r="AH42" s="329"/>
      <c r="AI42" s="128"/>
      <c r="AJ42" s="27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327"/>
      <c r="AX42" s="146">
        <f t="shared" si="7"/>
        <v>0</v>
      </c>
    </row>
    <row r="43" spans="1:51">
      <c r="A43" s="1" t="s">
        <v>47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2"/>
      <c r="N43" s="146"/>
      <c r="O43" s="12"/>
      <c r="P43" s="292"/>
      <c r="Q43" s="27"/>
      <c r="R43" s="312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26"/>
      <c r="AF43" s="26"/>
      <c r="AG43" s="146"/>
      <c r="AH43" s="26"/>
      <c r="AI43" s="128"/>
      <c r="AJ43" s="27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46"/>
      <c r="AX43" s="146">
        <f t="shared" si="7"/>
        <v>0</v>
      </c>
    </row>
    <row r="44" spans="1:51">
      <c r="A44" s="4" t="s">
        <v>48</v>
      </c>
      <c r="B44" s="146">
        <v>100.2</v>
      </c>
      <c r="C44" s="146">
        <v>244.95</v>
      </c>
      <c r="D44" s="146">
        <v>188.36</v>
      </c>
      <c r="E44" s="146">
        <v>211.25</v>
      </c>
      <c r="F44" s="146">
        <v>294.26</v>
      </c>
      <c r="G44" s="146">
        <v>139.84</v>
      </c>
      <c r="H44" s="146">
        <v>186.69</v>
      </c>
      <c r="I44" s="146">
        <v>613.75</v>
      </c>
      <c r="J44" s="146">
        <v>171.15</v>
      </c>
      <c r="K44" s="146">
        <v>146.71</v>
      </c>
      <c r="L44" s="146">
        <v>474.17</v>
      </c>
      <c r="M44" s="12">
        <v>453.74</v>
      </c>
      <c r="N44" s="146">
        <f t="shared" ref="N44:N50" si="24">SUM(B44:M44)</f>
        <v>3225.0699999999997</v>
      </c>
      <c r="O44" s="12">
        <v>2004.52</v>
      </c>
      <c r="P44" s="311">
        <f t="shared" ref="P44:P53" si="25">O44-N44</f>
        <v>-1220.5499999999997</v>
      </c>
      <c r="Q44" s="27"/>
      <c r="R44" s="312">
        <v>515.80999999999995</v>
      </c>
      <c r="S44" s="330">
        <v>164.97</v>
      </c>
      <c r="T44" s="330">
        <v>191.82</v>
      </c>
      <c r="U44" s="330">
        <v>174.94</v>
      </c>
      <c r="V44" s="330">
        <v>312.42</v>
      </c>
      <c r="W44" s="330">
        <v>212.67</v>
      </c>
      <c r="X44" s="330">
        <v>203.73</v>
      </c>
      <c r="Y44" s="330">
        <v>687.11</v>
      </c>
      <c r="Z44" s="330">
        <v>173.37</v>
      </c>
      <c r="AA44" s="330">
        <v>236.45</v>
      </c>
      <c r="AB44" s="330">
        <v>234.31</v>
      </c>
      <c r="AC44" s="330">
        <v>337.27</v>
      </c>
      <c r="AD44" s="146">
        <f>SUM(Q44:AC44)</f>
        <v>3444.87</v>
      </c>
      <c r="AE44" s="26">
        <v>3000</v>
      </c>
      <c r="AF44" s="26"/>
      <c r="AG44" s="146">
        <f>AE44-AD44</f>
        <v>-444.86999999999989</v>
      </c>
      <c r="AH44" s="26">
        <f>-(AE44-AG44)</f>
        <v>-3444.87</v>
      </c>
      <c r="AI44" s="128">
        <f>-AH44/AG44</f>
        <v>-7.743543057522424</v>
      </c>
      <c r="AJ44" s="27"/>
      <c r="AK44" s="26">
        <v>300</v>
      </c>
      <c r="AL44" s="26">
        <v>300</v>
      </c>
      <c r="AM44" s="26">
        <v>300</v>
      </c>
      <c r="AN44" s="26">
        <v>300</v>
      </c>
      <c r="AO44" s="26">
        <v>300</v>
      </c>
      <c r="AP44" s="26">
        <v>300</v>
      </c>
      <c r="AQ44" s="26">
        <v>300</v>
      </c>
      <c r="AR44" s="26">
        <v>300</v>
      </c>
      <c r="AS44" s="26">
        <v>300</v>
      </c>
      <c r="AT44" s="26">
        <v>300</v>
      </c>
      <c r="AU44" s="26">
        <v>300</v>
      </c>
      <c r="AV44" s="26">
        <v>300</v>
      </c>
      <c r="AW44" s="146">
        <f t="shared" ref="AW44:AW53" si="26">SUM(AK44:AV44)</f>
        <v>3600</v>
      </c>
      <c r="AX44" s="146">
        <f t="shared" si="7"/>
        <v>3444.87</v>
      </c>
    </row>
    <row r="45" spans="1:51">
      <c r="A45" s="4" t="s">
        <v>145</v>
      </c>
      <c r="B45" s="146">
        <v>3048.67</v>
      </c>
      <c r="C45" s="146">
        <v>2016.58</v>
      </c>
      <c r="D45" s="146">
        <v>534.32000000000005</v>
      </c>
      <c r="E45" s="146">
        <v>606.65</v>
      </c>
      <c r="F45" s="146">
        <v>669.57</v>
      </c>
      <c r="G45" s="146">
        <v>579.95000000000005</v>
      </c>
      <c r="H45" s="146">
        <v>608.35</v>
      </c>
      <c r="I45" s="146">
        <v>539.99</v>
      </c>
      <c r="J45" s="146">
        <v>708.18</v>
      </c>
      <c r="K45" s="146">
        <v>750.08</v>
      </c>
      <c r="L45" s="146">
        <v>936.99</v>
      </c>
      <c r="M45" s="28">
        <v>779.09</v>
      </c>
      <c r="N45" s="146">
        <f t="shared" si="24"/>
        <v>11778.42</v>
      </c>
      <c r="O45" s="12">
        <v>9000</v>
      </c>
      <c r="P45" s="311">
        <f t="shared" si="25"/>
        <v>-2778.42</v>
      </c>
      <c r="Q45" s="27"/>
      <c r="R45" s="312">
        <v>3067.22</v>
      </c>
      <c r="S45" s="146">
        <v>2376.9299999999998</v>
      </c>
      <c r="T45" s="146">
        <v>596.30999999999995</v>
      </c>
      <c r="U45" s="146">
        <v>508.25</v>
      </c>
      <c r="V45" s="146">
        <v>1628.02</v>
      </c>
      <c r="W45" s="146">
        <v>647.79999999999995</v>
      </c>
      <c r="X45" s="146">
        <v>745.51</v>
      </c>
      <c r="Y45" s="146">
        <v>742.76</v>
      </c>
      <c r="Z45" s="146">
        <v>876.17</v>
      </c>
      <c r="AA45" s="146">
        <v>1222.46</v>
      </c>
      <c r="AB45" s="146">
        <v>898.77</v>
      </c>
      <c r="AC45" s="146">
        <v>1248.02</v>
      </c>
      <c r="AD45" s="146">
        <f t="shared" ref="AD45:AD53" si="27">SUM(Q45:AC45)</f>
        <v>14558.220000000001</v>
      </c>
      <c r="AE45" s="26">
        <v>9250</v>
      </c>
      <c r="AF45" s="26"/>
      <c r="AG45" s="146">
        <f t="shared" ref="AG45:AG53" si="28">AE45-AD45</f>
        <v>-5308.2200000000012</v>
      </c>
      <c r="AH45" s="26">
        <f t="shared" ref="AH45:AH54" si="29">-(AE45-AG45)</f>
        <v>-14558.220000000001</v>
      </c>
      <c r="AI45" s="128">
        <f t="shared" ref="AI45:AI107" si="30">-AH45/AG45</f>
        <v>-2.742580375342393</v>
      </c>
      <c r="AJ45" s="27"/>
      <c r="AK45" s="26">
        <v>9035.58</v>
      </c>
      <c r="AL45" s="26">
        <v>961.07</v>
      </c>
      <c r="AM45" s="26">
        <v>597.58000000000004</v>
      </c>
      <c r="AN45" s="26">
        <v>597.58000000000004</v>
      </c>
      <c r="AO45" s="26">
        <v>646.58000000000004</v>
      </c>
      <c r="AP45" s="26">
        <v>588.52</v>
      </c>
      <c r="AQ45" s="26">
        <v>611.79</v>
      </c>
      <c r="AR45" s="26">
        <v>663.02</v>
      </c>
      <c r="AS45" s="26">
        <v>793.02</v>
      </c>
      <c r="AT45" s="26">
        <v>871.4</v>
      </c>
      <c r="AU45" s="26">
        <v>597.58000000000004</v>
      </c>
      <c r="AV45" s="26">
        <v>801.82</v>
      </c>
      <c r="AW45" s="146">
        <f t="shared" si="26"/>
        <v>16765.54</v>
      </c>
      <c r="AX45" s="146">
        <f t="shared" si="7"/>
        <v>14558.220000000001</v>
      </c>
      <c r="AY45" s="27" t="s">
        <v>432</v>
      </c>
    </row>
    <row r="46" spans="1:51">
      <c r="A46" s="4" t="s">
        <v>146</v>
      </c>
      <c r="B46" s="146">
        <v>1804.25</v>
      </c>
      <c r="C46" s="146">
        <v>1908.5</v>
      </c>
      <c r="D46" s="146">
        <v>1811</v>
      </c>
      <c r="E46" s="146">
        <v>1963.25</v>
      </c>
      <c r="F46" s="146">
        <v>2583.25</v>
      </c>
      <c r="G46" s="146">
        <v>2010</v>
      </c>
      <c r="H46" s="146">
        <v>1656.25</v>
      </c>
      <c r="I46" s="146">
        <v>1720.25</v>
      </c>
      <c r="J46" s="146">
        <v>1541.5</v>
      </c>
      <c r="K46" s="146">
        <v>1574</v>
      </c>
      <c r="L46" s="146">
        <v>1492.75</v>
      </c>
      <c r="M46" s="12">
        <v>2835.5</v>
      </c>
      <c r="N46" s="146">
        <f t="shared" si="24"/>
        <v>22900.5</v>
      </c>
      <c r="O46" s="12">
        <v>24000</v>
      </c>
      <c r="P46" s="311">
        <f t="shared" si="25"/>
        <v>1099.5</v>
      </c>
      <c r="Q46" s="27" t="s">
        <v>51</v>
      </c>
      <c r="R46" s="312">
        <v>1582.5</v>
      </c>
      <c r="S46" s="146">
        <v>1606.5</v>
      </c>
      <c r="T46" s="146">
        <v>1427.75</v>
      </c>
      <c r="U46" s="146">
        <v>2346.5</v>
      </c>
      <c r="V46" s="146">
        <v>1545.25</v>
      </c>
      <c r="W46" s="146">
        <v>1297.75</v>
      </c>
      <c r="X46" s="146">
        <v>1346.5</v>
      </c>
      <c r="Y46" s="146">
        <v>1314</v>
      </c>
      <c r="Z46" s="146">
        <v>1281.5</v>
      </c>
      <c r="AA46" s="146">
        <v>1411.5</v>
      </c>
      <c r="AB46" s="146">
        <v>1395.25</v>
      </c>
      <c r="AC46" s="146">
        <v>1427.75</v>
      </c>
      <c r="AD46" s="146">
        <f t="shared" si="27"/>
        <v>17982.75</v>
      </c>
      <c r="AE46" s="26">
        <v>24000</v>
      </c>
      <c r="AF46" s="26"/>
      <c r="AG46" s="146">
        <f t="shared" si="28"/>
        <v>6017.25</v>
      </c>
      <c r="AH46" s="26">
        <f t="shared" si="29"/>
        <v>-17982.75</v>
      </c>
      <c r="AI46" s="128">
        <f t="shared" si="30"/>
        <v>2.9885329677178114</v>
      </c>
      <c r="AJ46" s="27"/>
      <c r="AK46" s="26">
        <v>2000</v>
      </c>
      <c r="AL46" s="26">
        <v>2000</v>
      </c>
      <c r="AM46" s="26">
        <v>2000</v>
      </c>
      <c r="AN46" s="26">
        <v>2000</v>
      </c>
      <c r="AO46" s="26">
        <v>2000</v>
      </c>
      <c r="AP46" s="26">
        <v>2000</v>
      </c>
      <c r="AQ46" s="26">
        <v>2000</v>
      </c>
      <c r="AR46" s="26">
        <v>2000</v>
      </c>
      <c r="AS46" s="26">
        <v>2000</v>
      </c>
      <c r="AT46" s="26">
        <v>2000</v>
      </c>
      <c r="AU46" s="26">
        <v>2000</v>
      </c>
      <c r="AV46" s="26">
        <v>2000</v>
      </c>
      <c r="AW46" s="146">
        <f t="shared" si="26"/>
        <v>24000</v>
      </c>
      <c r="AX46" s="146">
        <f t="shared" si="7"/>
        <v>17982.75</v>
      </c>
    </row>
    <row r="47" spans="1:51">
      <c r="A47" s="4" t="s">
        <v>147</v>
      </c>
      <c r="B47" s="146">
        <v>0</v>
      </c>
      <c r="C47" s="146">
        <v>0</v>
      </c>
      <c r="D47" s="146">
        <v>0</v>
      </c>
      <c r="E47" s="146">
        <v>548.47</v>
      </c>
      <c r="F47" s="146">
        <v>0</v>
      </c>
      <c r="G47" s="146">
        <v>0</v>
      </c>
      <c r="H47" s="146">
        <v>0</v>
      </c>
      <c r="I47" s="146">
        <v>658.81</v>
      </c>
      <c r="J47" s="146">
        <v>0</v>
      </c>
      <c r="K47" s="146">
        <v>0</v>
      </c>
      <c r="L47" s="146">
        <v>147.47</v>
      </c>
      <c r="M47" s="12">
        <v>147.47</v>
      </c>
      <c r="N47" s="146">
        <f t="shared" si="24"/>
        <v>1502.22</v>
      </c>
      <c r="O47" s="12">
        <v>4800</v>
      </c>
      <c r="P47" s="311">
        <f t="shared" si="25"/>
        <v>3297.7799999999997</v>
      </c>
      <c r="Q47" s="27"/>
      <c r="R47" s="312">
        <v>147.47</v>
      </c>
      <c r="S47" s="146">
        <v>458</v>
      </c>
      <c r="T47" s="146">
        <v>147.47</v>
      </c>
      <c r="U47" s="146">
        <v>147.47</v>
      </c>
      <c r="V47" s="146">
        <v>594.6</v>
      </c>
      <c r="W47" s="146">
        <v>147.47</v>
      </c>
      <c r="X47" s="146">
        <v>608.08000000000004</v>
      </c>
      <c r="Y47" s="146">
        <v>147.47</v>
      </c>
      <c r="Z47" s="146">
        <v>147.47</v>
      </c>
      <c r="AA47" s="146">
        <v>656.21</v>
      </c>
      <c r="AB47" s="146">
        <v>147.47</v>
      </c>
      <c r="AC47" s="146">
        <v>147.47</v>
      </c>
      <c r="AD47" s="146">
        <f t="shared" si="27"/>
        <v>3496.6499999999996</v>
      </c>
      <c r="AE47" s="26">
        <v>4800</v>
      </c>
      <c r="AF47" s="26"/>
      <c r="AG47" s="146">
        <f t="shared" si="28"/>
        <v>1303.3500000000004</v>
      </c>
      <c r="AH47" s="26">
        <f t="shared" si="29"/>
        <v>-3496.6499999999996</v>
      </c>
      <c r="AI47" s="128">
        <f t="shared" si="30"/>
        <v>2.6828173552767858</v>
      </c>
      <c r="AJ47" s="27"/>
      <c r="AK47" s="12">
        <v>400</v>
      </c>
      <c r="AL47" s="12">
        <v>400</v>
      </c>
      <c r="AM47" s="12">
        <v>400</v>
      </c>
      <c r="AN47" s="12">
        <v>400</v>
      </c>
      <c r="AO47" s="12">
        <v>400</v>
      </c>
      <c r="AP47" s="12">
        <v>400</v>
      </c>
      <c r="AQ47" s="12">
        <v>400</v>
      </c>
      <c r="AR47" s="12">
        <v>400</v>
      </c>
      <c r="AS47" s="12">
        <v>400</v>
      </c>
      <c r="AT47" s="12">
        <v>400</v>
      </c>
      <c r="AU47" s="12">
        <v>400</v>
      </c>
      <c r="AV47" s="12">
        <v>400</v>
      </c>
      <c r="AW47" s="146">
        <f t="shared" si="26"/>
        <v>4800</v>
      </c>
      <c r="AX47" s="146">
        <f t="shared" si="7"/>
        <v>3496.6499999999996</v>
      </c>
    </row>
    <row r="48" spans="1:51">
      <c r="A48" s="4" t="s">
        <v>148</v>
      </c>
      <c r="B48" s="146">
        <f>0</f>
        <v>0</v>
      </c>
      <c r="C48" s="146">
        <f>0</f>
        <v>0</v>
      </c>
      <c r="D48" s="146"/>
      <c r="E48" s="146">
        <f>0</f>
        <v>0</v>
      </c>
      <c r="F48" s="146">
        <f>0</f>
        <v>0</v>
      </c>
      <c r="G48" s="146">
        <v>0</v>
      </c>
      <c r="H48" s="146">
        <v>0</v>
      </c>
      <c r="I48" s="146">
        <v>2143</v>
      </c>
      <c r="J48" s="146">
        <f>0</f>
        <v>0</v>
      </c>
      <c r="K48" s="146">
        <v>0</v>
      </c>
      <c r="L48" s="146">
        <f>0</f>
        <v>0</v>
      </c>
      <c r="M48" s="12">
        <f>0</f>
        <v>0</v>
      </c>
      <c r="N48" s="146">
        <f t="shared" si="24"/>
        <v>2143</v>
      </c>
      <c r="O48" s="12">
        <v>3007.51</v>
      </c>
      <c r="P48" s="311">
        <f t="shared" si="25"/>
        <v>864.51000000000022</v>
      </c>
      <c r="Q48" s="27"/>
      <c r="R48" s="312">
        <f>0</f>
        <v>0</v>
      </c>
      <c r="S48" s="146">
        <f>0</f>
        <v>0</v>
      </c>
      <c r="T48" s="146">
        <f>0</f>
        <v>0</v>
      </c>
      <c r="U48" s="146">
        <f>0</f>
        <v>0</v>
      </c>
      <c r="V48" s="146">
        <f>0</f>
        <v>0</v>
      </c>
      <c r="W48" s="146">
        <v>0</v>
      </c>
      <c r="X48" s="146">
        <f>0</f>
        <v>0</v>
      </c>
      <c r="Y48" s="146">
        <v>2148.5</v>
      </c>
      <c r="Z48" s="146">
        <f>0</f>
        <v>0</v>
      </c>
      <c r="AA48" s="146">
        <f>0</f>
        <v>0</v>
      </c>
      <c r="AB48" s="146">
        <f>0</f>
        <v>0</v>
      </c>
      <c r="AC48" s="146">
        <f>0</f>
        <v>0</v>
      </c>
      <c r="AD48" s="146">
        <f t="shared" si="27"/>
        <v>2148.5</v>
      </c>
      <c r="AE48" s="26">
        <v>3007.51</v>
      </c>
      <c r="AF48" s="26"/>
      <c r="AG48" s="146">
        <f t="shared" si="28"/>
        <v>859.01000000000022</v>
      </c>
      <c r="AH48" s="26">
        <f t="shared" si="29"/>
        <v>-2148.5</v>
      </c>
      <c r="AI48" s="128">
        <f t="shared" si="30"/>
        <v>2.501135027531693</v>
      </c>
      <c r="AJ48" s="27"/>
      <c r="AK48" s="12">
        <f>0</f>
        <v>0</v>
      </c>
      <c r="AL48" s="12">
        <f>0</f>
        <v>0</v>
      </c>
      <c r="AM48" s="12">
        <f>0</f>
        <v>0</v>
      </c>
      <c r="AN48" s="12">
        <f>0</f>
        <v>0</v>
      </c>
      <c r="AO48" s="12">
        <f>0</f>
        <v>0</v>
      </c>
      <c r="AP48" s="12">
        <f>3007.51</f>
        <v>3007.51</v>
      </c>
      <c r="AQ48" s="12">
        <f>0</f>
        <v>0</v>
      </c>
      <c r="AR48" s="12">
        <f>0</f>
        <v>0</v>
      </c>
      <c r="AS48" s="12">
        <f>0</f>
        <v>0</v>
      </c>
      <c r="AT48" s="12">
        <f>0</f>
        <v>0</v>
      </c>
      <c r="AU48" s="12">
        <f>0</f>
        <v>0</v>
      </c>
      <c r="AV48" s="12">
        <f>0</f>
        <v>0</v>
      </c>
      <c r="AW48" s="146">
        <f t="shared" si="26"/>
        <v>3007.51</v>
      </c>
      <c r="AX48" s="146">
        <f t="shared" si="7"/>
        <v>2148.5</v>
      </c>
    </row>
    <row r="49" spans="1:53">
      <c r="A49" s="4" t="s">
        <v>433</v>
      </c>
      <c r="B49" s="146">
        <v>1408.98</v>
      </c>
      <c r="C49" s="146">
        <v>1743.46</v>
      </c>
      <c r="D49" s="146">
        <v>1666.07</v>
      </c>
      <c r="E49" s="146">
        <v>2725.86</v>
      </c>
      <c r="F49" s="146">
        <v>0</v>
      </c>
      <c r="G49" s="146">
        <v>1732.5</v>
      </c>
      <c r="H49" s="146">
        <v>1481.18</v>
      </c>
      <c r="I49" s="146">
        <v>666.74</v>
      </c>
      <c r="J49" s="146">
        <v>1714.35</v>
      </c>
      <c r="K49" s="146">
        <v>2614.84</v>
      </c>
      <c r="L49" s="146">
        <v>1490.21</v>
      </c>
      <c r="M49" s="314">
        <v>583.6</v>
      </c>
      <c r="N49" s="146">
        <f t="shared" si="24"/>
        <v>17827.79</v>
      </c>
      <c r="O49" s="12">
        <v>12500</v>
      </c>
      <c r="P49" s="311">
        <f t="shared" si="25"/>
        <v>-5327.7900000000009</v>
      </c>
      <c r="Q49" s="27" t="s">
        <v>55</v>
      </c>
      <c r="R49" s="312">
        <v>3688.94</v>
      </c>
      <c r="S49" s="146">
        <v>3969.04</v>
      </c>
      <c r="T49" s="146">
        <v>2017.19</v>
      </c>
      <c r="U49" s="146">
        <v>3203.34</v>
      </c>
      <c r="V49" s="146">
        <v>1815.77</v>
      </c>
      <c r="W49" s="146">
        <v>2066.36</v>
      </c>
      <c r="X49" s="146">
        <v>568.49</v>
      </c>
      <c r="Y49" s="146">
        <v>1688</v>
      </c>
      <c r="Z49" s="146">
        <v>937.04</v>
      </c>
      <c r="AA49" s="146">
        <v>2446.02</v>
      </c>
      <c r="AB49" s="146">
        <v>95.27</v>
      </c>
      <c r="AC49" s="146">
        <v>119.03</v>
      </c>
      <c r="AD49" s="146">
        <f t="shared" si="27"/>
        <v>22614.49</v>
      </c>
      <c r="AE49" s="26">
        <v>24000</v>
      </c>
      <c r="AF49" s="26"/>
      <c r="AG49" s="146">
        <f t="shared" si="28"/>
        <v>1385.5099999999984</v>
      </c>
      <c r="AH49" s="26">
        <f t="shared" si="29"/>
        <v>-22614.49</v>
      </c>
      <c r="AI49" s="128">
        <f t="shared" si="30"/>
        <v>16.322141305367719</v>
      </c>
      <c r="AJ49" s="27"/>
      <c r="AK49" s="12">
        <v>1000</v>
      </c>
      <c r="AL49" s="12">
        <v>1500</v>
      </c>
      <c r="AM49" s="12">
        <v>1000</v>
      </c>
      <c r="AN49" s="12">
        <v>1000</v>
      </c>
      <c r="AO49" s="12">
        <v>1000</v>
      </c>
      <c r="AP49" s="12">
        <v>1000</v>
      </c>
      <c r="AQ49" s="12">
        <v>1000</v>
      </c>
      <c r="AR49" s="12">
        <v>1000</v>
      </c>
      <c r="AS49" s="12">
        <v>1000</v>
      </c>
      <c r="AT49" s="12">
        <v>1000</v>
      </c>
      <c r="AU49" s="12">
        <v>1000</v>
      </c>
      <c r="AV49" s="12">
        <v>1000</v>
      </c>
      <c r="AW49" s="146">
        <f t="shared" si="26"/>
        <v>12500</v>
      </c>
      <c r="AX49" s="146">
        <f t="shared" si="7"/>
        <v>22614.49</v>
      </c>
      <c r="AZ49" s="290"/>
      <c r="BA49" s="290"/>
    </row>
    <row r="50" spans="1:53">
      <c r="A50" s="4" t="s">
        <v>434</v>
      </c>
      <c r="B50" s="146">
        <v>2877.63</v>
      </c>
      <c r="C50" s="146">
        <v>1039.6099999999999</v>
      </c>
      <c r="D50" s="146">
        <v>620.57000000000005</v>
      </c>
      <c r="E50" s="146">
        <v>564.96</v>
      </c>
      <c r="F50" s="146">
        <v>438.2</v>
      </c>
      <c r="G50" s="146">
        <v>462.61</v>
      </c>
      <c r="H50" s="146">
        <v>349.04</v>
      </c>
      <c r="I50" s="146">
        <v>750.44</v>
      </c>
      <c r="J50" s="146">
        <v>444.61</v>
      </c>
      <c r="K50" s="146">
        <v>2626.08</v>
      </c>
      <c r="L50" s="146">
        <v>6800.08</v>
      </c>
      <c r="M50" s="314">
        <v>1938.26</v>
      </c>
      <c r="N50" s="146">
        <f t="shared" si="24"/>
        <v>18912.09</v>
      </c>
      <c r="O50" s="12">
        <v>9000</v>
      </c>
      <c r="P50" s="311">
        <f t="shared" si="25"/>
        <v>-9912.09</v>
      </c>
      <c r="Q50" s="27"/>
      <c r="R50" s="312">
        <v>2502.4299999999998</v>
      </c>
      <c r="S50" s="146">
        <v>4191.3500000000004</v>
      </c>
      <c r="T50" s="146">
        <v>2664.36</v>
      </c>
      <c r="U50" s="146">
        <v>1562.88</v>
      </c>
      <c r="V50" s="146">
        <v>1984.2</v>
      </c>
      <c r="W50" s="146">
        <v>3136.98</v>
      </c>
      <c r="X50" s="146">
        <v>395</v>
      </c>
      <c r="Y50" s="146">
        <v>886.48</v>
      </c>
      <c r="Z50" s="146">
        <v>1462.57</v>
      </c>
      <c r="AA50" s="146">
        <v>1859.42</v>
      </c>
      <c r="AB50" s="146">
        <v>205.92</v>
      </c>
      <c r="AC50" s="146">
        <v>4654.33</v>
      </c>
      <c r="AD50" s="146">
        <f t="shared" si="27"/>
        <v>25505.919999999998</v>
      </c>
      <c r="AE50" s="26">
        <v>12000</v>
      </c>
      <c r="AF50" s="26"/>
      <c r="AG50" s="146">
        <f t="shared" si="28"/>
        <v>-13505.919999999998</v>
      </c>
      <c r="AH50" s="26">
        <f t="shared" si="29"/>
        <v>-25505.919999999998</v>
      </c>
      <c r="AI50" s="128">
        <f t="shared" si="30"/>
        <v>-1.8884992655072739</v>
      </c>
      <c r="AJ50" s="27"/>
      <c r="AK50" s="12">
        <v>2000</v>
      </c>
      <c r="AL50" s="12">
        <v>750</v>
      </c>
      <c r="AM50" s="12">
        <v>1500</v>
      </c>
      <c r="AN50" s="12">
        <v>750</v>
      </c>
      <c r="AO50" s="12">
        <v>750</v>
      </c>
      <c r="AP50" s="12">
        <v>750</v>
      </c>
      <c r="AQ50" s="12">
        <v>750</v>
      </c>
      <c r="AR50" s="12">
        <v>750</v>
      </c>
      <c r="AS50" s="12">
        <v>750</v>
      </c>
      <c r="AT50" s="12">
        <v>750</v>
      </c>
      <c r="AU50" s="12">
        <v>750</v>
      </c>
      <c r="AV50" s="12">
        <v>750</v>
      </c>
      <c r="AW50" s="146">
        <f t="shared" si="26"/>
        <v>11000</v>
      </c>
      <c r="AX50" s="146">
        <f t="shared" si="7"/>
        <v>25505.919999999998</v>
      </c>
      <c r="AZ50" s="290"/>
      <c r="BA50" s="290"/>
    </row>
    <row r="51" spans="1:53" s="157" customFormat="1">
      <c r="A51" s="160" t="s">
        <v>435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314"/>
      <c r="N51" s="146"/>
      <c r="O51" s="12"/>
      <c r="P51" s="311"/>
      <c r="Q51" s="27"/>
      <c r="R51" s="312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26"/>
      <c r="AF51" s="26"/>
      <c r="AG51" s="146"/>
      <c r="AH51" s="26"/>
      <c r="AI51" s="128"/>
      <c r="AJ51" s="27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>
        <v>3000</v>
      </c>
      <c r="AU51" s="331"/>
      <c r="AV51" s="331"/>
      <c r="AW51" s="146">
        <f t="shared" si="26"/>
        <v>3000</v>
      </c>
      <c r="AX51" s="146">
        <f t="shared" si="7"/>
        <v>0</v>
      </c>
      <c r="AY51" s="27" t="s">
        <v>436</v>
      </c>
      <c r="AZ51" s="290"/>
      <c r="BA51" s="290"/>
    </row>
    <row r="52" spans="1:53" s="157" customFormat="1">
      <c r="A52" s="160" t="s">
        <v>437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314"/>
      <c r="N52" s="146"/>
      <c r="O52" s="12"/>
      <c r="P52" s="311"/>
      <c r="Q52" s="27"/>
      <c r="R52" s="312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26"/>
      <c r="AF52" s="26"/>
      <c r="AG52" s="146"/>
      <c r="AH52" s="26"/>
      <c r="AI52" s="128"/>
      <c r="AJ52" s="27"/>
      <c r="AK52" s="331"/>
      <c r="AL52" s="331"/>
      <c r="AM52" s="331"/>
      <c r="AN52" s="331"/>
      <c r="AO52" s="331"/>
      <c r="AP52" s="331">
        <v>2000</v>
      </c>
      <c r="AQ52" s="331"/>
      <c r="AR52" s="331"/>
      <c r="AS52" s="331"/>
      <c r="AT52" s="331"/>
      <c r="AU52" s="331">
        <v>2000</v>
      </c>
      <c r="AV52" s="331"/>
      <c r="AW52" s="146">
        <f t="shared" si="26"/>
        <v>4000</v>
      </c>
      <c r="AX52" s="146">
        <f t="shared" si="7"/>
        <v>0</v>
      </c>
      <c r="AY52" s="27" t="s">
        <v>438</v>
      </c>
      <c r="AZ52" s="290"/>
      <c r="BA52" s="290"/>
    </row>
    <row r="53" spans="1:53">
      <c r="A53" s="4" t="s">
        <v>151</v>
      </c>
      <c r="B53" s="146">
        <f>0</f>
        <v>0</v>
      </c>
      <c r="C53" s="146">
        <f>0</f>
        <v>0</v>
      </c>
      <c r="D53" s="146">
        <v>0</v>
      </c>
      <c r="E53" s="146">
        <v>0</v>
      </c>
      <c r="F53" s="146">
        <v>0</v>
      </c>
      <c r="G53" s="146">
        <f>0</f>
        <v>0</v>
      </c>
      <c r="H53" s="146">
        <v>0</v>
      </c>
      <c r="I53" s="146">
        <f>0</f>
        <v>0</v>
      </c>
      <c r="J53" s="146">
        <v>0</v>
      </c>
      <c r="K53" s="146">
        <v>0</v>
      </c>
      <c r="L53" s="146">
        <v>746.05</v>
      </c>
      <c r="M53" s="28">
        <v>62</v>
      </c>
      <c r="N53" s="146">
        <f>SUM(B53:M53)</f>
        <v>808.05</v>
      </c>
      <c r="O53" s="12">
        <v>2850</v>
      </c>
      <c r="P53" s="311">
        <f t="shared" si="25"/>
        <v>2041.95</v>
      </c>
      <c r="Q53" s="27"/>
      <c r="R53" s="312">
        <f>0</f>
        <v>0</v>
      </c>
      <c r="S53" s="146">
        <f>0</f>
        <v>0</v>
      </c>
      <c r="T53" s="146">
        <v>0</v>
      </c>
      <c r="U53" s="146">
        <v>0</v>
      </c>
      <c r="V53" s="146">
        <v>0</v>
      </c>
      <c r="W53" s="146">
        <f>0</f>
        <v>0</v>
      </c>
      <c r="X53" s="146">
        <v>0</v>
      </c>
      <c r="Y53" s="146">
        <f>0</f>
        <v>0</v>
      </c>
      <c r="Z53" s="146">
        <v>0</v>
      </c>
      <c r="AA53" s="146">
        <v>0</v>
      </c>
      <c r="AB53" s="146">
        <v>4128.96</v>
      </c>
      <c r="AC53" s="146">
        <v>452.4</v>
      </c>
      <c r="AD53" s="146">
        <f t="shared" si="27"/>
        <v>4581.3599999999997</v>
      </c>
      <c r="AE53" s="26">
        <v>2000</v>
      </c>
      <c r="AF53" s="26"/>
      <c r="AG53" s="146">
        <f t="shared" si="28"/>
        <v>-2581.3599999999997</v>
      </c>
      <c r="AH53" s="138">
        <f t="shared" si="29"/>
        <v>-4581.3599999999997</v>
      </c>
      <c r="AI53" s="128">
        <f t="shared" si="30"/>
        <v>-1.7747853844485078</v>
      </c>
      <c r="AJ53" s="27"/>
      <c r="AK53" s="12">
        <v>500</v>
      </c>
      <c r="AL53" s="12">
        <f>0</f>
        <v>0</v>
      </c>
      <c r="AM53" s="12">
        <v>0</v>
      </c>
      <c r="AN53" s="12">
        <v>0</v>
      </c>
      <c r="AO53" s="12">
        <v>0</v>
      </c>
      <c r="AP53" s="12">
        <f>0</f>
        <v>0</v>
      </c>
      <c r="AQ53" s="12">
        <v>0</v>
      </c>
      <c r="AR53" s="12">
        <f>0</f>
        <v>0</v>
      </c>
      <c r="AS53" s="12">
        <v>0</v>
      </c>
      <c r="AT53" s="12">
        <v>0</v>
      </c>
      <c r="AU53" s="12">
        <v>2000</v>
      </c>
      <c r="AV53" s="12">
        <v>500</v>
      </c>
      <c r="AW53" s="146">
        <f t="shared" si="26"/>
        <v>3000</v>
      </c>
      <c r="AX53" s="146">
        <f t="shared" si="7"/>
        <v>4581.3599999999997</v>
      </c>
      <c r="AY53" s="27" t="s">
        <v>439</v>
      </c>
      <c r="AZ53" s="290"/>
      <c r="BA53" s="290"/>
    </row>
    <row r="54" spans="1:53">
      <c r="A54" s="32" t="s">
        <v>58</v>
      </c>
      <c r="B54" s="316">
        <f t="shared" ref="B54:P54" si="31">SUM(B44:B53)</f>
        <v>9239.73</v>
      </c>
      <c r="C54" s="316">
        <f t="shared" si="31"/>
        <v>6953.0999999999995</v>
      </c>
      <c r="D54" s="316">
        <f t="shared" si="31"/>
        <v>4820.32</v>
      </c>
      <c r="E54" s="316">
        <f t="shared" si="31"/>
        <v>6620.44</v>
      </c>
      <c r="F54" s="316">
        <f t="shared" si="31"/>
        <v>3985.2799999999997</v>
      </c>
      <c r="G54" s="316">
        <f t="shared" si="31"/>
        <v>4924.8999999999996</v>
      </c>
      <c r="H54" s="316">
        <f t="shared" si="31"/>
        <v>4281.51</v>
      </c>
      <c r="I54" s="316">
        <f t="shared" si="31"/>
        <v>7092.98</v>
      </c>
      <c r="J54" s="316">
        <f t="shared" si="31"/>
        <v>4579.79</v>
      </c>
      <c r="K54" s="316">
        <f t="shared" si="31"/>
        <v>7711.71</v>
      </c>
      <c r="L54" s="316">
        <f t="shared" si="31"/>
        <v>12087.72</v>
      </c>
      <c r="M54" s="20">
        <f t="shared" si="31"/>
        <v>6799.6600000000008</v>
      </c>
      <c r="N54" s="316">
        <f t="shared" si="31"/>
        <v>79097.14</v>
      </c>
      <c r="O54" s="20">
        <f t="shared" si="31"/>
        <v>67162.03</v>
      </c>
      <c r="P54" s="20">
        <f t="shared" si="31"/>
        <v>-11935.11</v>
      </c>
      <c r="Q54" s="27"/>
      <c r="R54" s="317">
        <f t="shared" ref="R54:AE54" si="32">SUM(R44:R53)</f>
        <v>11504.37</v>
      </c>
      <c r="S54" s="316">
        <f t="shared" si="32"/>
        <v>12766.789999999999</v>
      </c>
      <c r="T54" s="316">
        <f t="shared" si="32"/>
        <v>7044.9</v>
      </c>
      <c r="U54" s="316">
        <f t="shared" si="32"/>
        <v>7943.38</v>
      </c>
      <c r="V54" s="316">
        <f t="shared" si="32"/>
        <v>7880.2599999999993</v>
      </c>
      <c r="W54" s="316">
        <f t="shared" si="32"/>
        <v>7509.0299999999988</v>
      </c>
      <c r="X54" s="316">
        <f t="shared" si="32"/>
        <v>3867.3099999999995</v>
      </c>
      <c r="Y54" s="316">
        <f t="shared" si="32"/>
        <v>7614.32</v>
      </c>
      <c r="Z54" s="316">
        <f t="shared" si="32"/>
        <v>4878.12</v>
      </c>
      <c r="AA54" s="316">
        <f t="shared" si="32"/>
        <v>7832.0599999999995</v>
      </c>
      <c r="AB54" s="316">
        <f t="shared" si="32"/>
        <v>7105.95</v>
      </c>
      <c r="AC54" s="316">
        <f t="shared" si="32"/>
        <v>8386.27</v>
      </c>
      <c r="AD54" s="316">
        <f t="shared" si="32"/>
        <v>94332.76</v>
      </c>
      <c r="AE54" s="318">
        <f t="shared" si="32"/>
        <v>82057.510000000009</v>
      </c>
      <c r="AF54" s="318"/>
      <c r="AG54" s="145">
        <f>SUM(AG44:AG53)</f>
        <v>-12275.25</v>
      </c>
      <c r="AH54" s="26">
        <f t="shared" si="29"/>
        <v>-94332.760000000009</v>
      </c>
      <c r="AI54" s="128">
        <f t="shared" si="30"/>
        <v>-7.6847933850634416</v>
      </c>
      <c r="AJ54" s="27"/>
      <c r="AK54" s="20">
        <f t="shared" ref="AK54:AW54" si="33">SUM(AK44:AK53)</f>
        <v>15235.58</v>
      </c>
      <c r="AL54" s="20">
        <f t="shared" si="33"/>
        <v>5911.07</v>
      </c>
      <c r="AM54" s="20">
        <f t="shared" si="33"/>
        <v>5797.58</v>
      </c>
      <c r="AN54" s="20">
        <f t="shared" si="33"/>
        <v>5047.58</v>
      </c>
      <c r="AO54" s="20">
        <f t="shared" si="33"/>
        <v>5096.58</v>
      </c>
      <c r="AP54" s="20">
        <f t="shared" si="33"/>
        <v>10046.030000000001</v>
      </c>
      <c r="AQ54" s="20">
        <f t="shared" si="33"/>
        <v>5061.79</v>
      </c>
      <c r="AR54" s="20">
        <f t="shared" si="33"/>
        <v>5113.0200000000004</v>
      </c>
      <c r="AS54" s="20">
        <f t="shared" si="33"/>
        <v>5243.02</v>
      </c>
      <c r="AT54" s="20">
        <f t="shared" si="33"/>
        <v>8321.4</v>
      </c>
      <c r="AU54" s="20">
        <f t="shared" si="33"/>
        <v>9047.58</v>
      </c>
      <c r="AV54" s="20">
        <f t="shared" si="33"/>
        <v>5751.82</v>
      </c>
      <c r="AW54" s="316">
        <f t="shared" si="33"/>
        <v>85673.05</v>
      </c>
      <c r="AX54" s="163">
        <f t="shared" si="7"/>
        <v>94332.76</v>
      </c>
      <c r="AZ54" s="290"/>
      <c r="BA54" s="290"/>
    </row>
    <row r="55" spans="1:53" ht="6" customHeight="1">
      <c r="A55" s="1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13"/>
      <c r="N55" s="319"/>
      <c r="O55" s="13"/>
      <c r="P55" s="292"/>
      <c r="Q55" s="27"/>
      <c r="R55" s="320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1"/>
      <c r="AF55" s="321"/>
      <c r="AG55" s="319"/>
      <c r="AH55" s="321"/>
      <c r="AI55" s="128"/>
      <c r="AJ55" s="27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319"/>
      <c r="AX55" s="146"/>
      <c r="AZ55" s="290"/>
      <c r="BA55" s="290"/>
    </row>
    <row r="56" spans="1:53">
      <c r="A56" s="1" t="s">
        <v>440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0"/>
      <c r="N56" s="291"/>
      <c r="O56" s="12"/>
      <c r="P56" s="292"/>
      <c r="Q56" s="27"/>
      <c r="R56" s="332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4"/>
      <c r="AF56" s="294"/>
      <c r="AG56" s="291"/>
      <c r="AH56" s="294"/>
      <c r="AI56" s="128"/>
      <c r="AJ56" s="13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1"/>
      <c r="AX56" s="146">
        <f t="shared" si="7"/>
        <v>0</v>
      </c>
      <c r="AZ56" s="290"/>
      <c r="BA56" s="290"/>
    </row>
    <row r="57" spans="1:53" s="92" customFormat="1">
      <c r="A57" s="4" t="s">
        <v>441</v>
      </c>
      <c r="B57" s="146">
        <v>853.08</v>
      </c>
      <c r="C57" s="146">
        <v>933.16</v>
      </c>
      <c r="D57" s="146">
        <v>0</v>
      </c>
      <c r="E57" s="146">
        <v>490.85</v>
      </c>
      <c r="F57" s="146">
        <v>819.81</v>
      </c>
      <c r="G57" s="146">
        <v>1638.44</v>
      </c>
      <c r="H57" s="146">
        <v>0</v>
      </c>
      <c r="I57" s="146">
        <v>13.46</v>
      </c>
      <c r="J57" s="146">
        <v>0</v>
      </c>
      <c r="K57" s="146">
        <v>2111.44</v>
      </c>
      <c r="L57" s="146">
        <v>339</v>
      </c>
      <c r="M57" s="12">
        <v>3340.44</v>
      </c>
      <c r="N57" s="146">
        <f>SUM(B57:M57)</f>
        <v>10539.68</v>
      </c>
      <c r="O57" s="12">
        <v>15000</v>
      </c>
      <c r="P57" s="333">
        <f>O57-N57</f>
        <v>4460.32</v>
      </c>
      <c r="Q57" s="27"/>
      <c r="R57" s="312">
        <v>22.85</v>
      </c>
      <c r="S57" s="330">
        <v>38.21</v>
      </c>
      <c r="T57" s="330">
        <v>3.6</v>
      </c>
      <c r="U57" s="330">
        <v>40</v>
      </c>
      <c r="V57" s="330">
        <v>684.75</v>
      </c>
      <c r="W57" s="330">
        <v>566.79</v>
      </c>
      <c r="X57" s="330">
        <f>50.57+4485</f>
        <v>4535.57</v>
      </c>
      <c r="Y57" s="330">
        <v>1144.79</v>
      </c>
      <c r="Z57" s="330">
        <v>1359.91</v>
      </c>
      <c r="AA57" s="330"/>
      <c r="AB57" s="330">
        <v>481.65</v>
      </c>
      <c r="AC57" s="330">
        <v>1780.64</v>
      </c>
      <c r="AD57" s="146">
        <f>SUM(Q57:AC57)</f>
        <v>10658.759999999998</v>
      </c>
      <c r="AE57" s="26">
        <v>12000</v>
      </c>
      <c r="AF57" s="26"/>
      <c r="AG57" s="146">
        <f>AE57-AD57</f>
        <v>1341.2400000000016</v>
      </c>
      <c r="AH57" s="26">
        <f>-(AE57-AG57)</f>
        <v>-10658.759999999998</v>
      </c>
      <c r="AI57" s="128">
        <f t="shared" si="30"/>
        <v>7.9469446184128012</v>
      </c>
      <c r="AJ57" s="130"/>
      <c r="AK57" s="12">
        <v>1000</v>
      </c>
      <c r="AL57" s="331">
        <v>10000</v>
      </c>
      <c r="AM57" s="26">
        <v>1000</v>
      </c>
      <c r="AN57" s="12">
        <v>1000</v>
      </c>
      <c r="AO57" s="331">
        <v>5000</v>
      </c>
      <c r="AP57" s="12">
        <v>1000</v>
      </c>
      <c r="AQ57" s="12">
        <v>1000</v>
      </c>
      <c r="AR57" s="331">
        <v>5000</v>
      </c>
      <c r="AS57" s="12">
        <v>1000</v>
      </c>
      <c r="AT57" s="331">
        <v>4000</v>
      </c>
      <c r="AU57" s="12">
        <v>1000</v>
      </c>
      <c r="AV57" s="12">
        <v>1000</v>
      </c>
      <c r="AW57" s="146">
        <f>SUM(AK57:AV57)</f>
        <v>32000</v>
      </c>
      <c r="AX57" s="146">
        <f t="shared" si="7"/>
        <v>10658.759999999998</v>
      </c>
      <c r="AY57" s="27" t="s">
        <v>442</v>
      </c>
      <c r="AZ57" s="290"/>
      <c r="BA57" s="290"/>
    </row>
    <row r="58" spans="1:53" s="92" customFormat="1">
      <c r="A58" s="4" t="s">
        <v>443</v>
      </c>
      <c r="B58" s="146">
        <v>149</v>
      </c>
      <c r="C58" s="146">
        <v>1649</v>
      </c>
      <c r="D58" s="146">
        <v>1479</v>
      </c>
      <c r="E58" s="146">
        <v>674.36</v>
      </c>
      <c r="F58" s="146">
        <v>1289</v>
      </c>
      <c r="G58" s="146">
        <v>339</v>
      </c>
      <c r="H58" s="146">
        <v>1574</v>
      </c>
      <c r="I58" s="146">
        <v>164.17</v>
      </c>
      <c r="J58" s="146">
        <v>149</v>
      </c>
      <c r="K58" s="146">
        <v>149</v>
      </c>
      <c r="L58" s="146">
        <v>358.97</v>
      </c>
      <c r="M58" s="12">
        <v>149</v>
      </c>
      <c r="N58" s="146">
        <f>SUM(B58:M58)</f>
        <v>8123.5000000000009</v>
      </c>
      <c r="O58" s="12">
        <v>4800</v>
      </c>
      <c r="P58" s="333">
        <f>O58-N58</f>
        <v>-3323.5000000000009</v>
      </c>
      <c r="Q58" s="27"/>
      <c r="R58" s="312">
        <v>149</v>
      </c>
      <c r="S58" s="330">
        <v>149</v>
      </c>
      <c r="T58" s="330">
        <v>149</v>
      </c>
      <c r="U58" s="330">
        <v>149</v>
      </c>
      <c r="V58" s="330">
        <v>149</v>
      </c>
      <c r="W58" s="330">
        <v>149</v>
      </c>
      <c r="X58" s="330">
        <v>9946</v>
      </c>
      <c r="Y58" s="330">
        <v>164.17</v>
      </c>
      <c r="Z58" s="330">
        <v>149</v>
      </c>
      <c r="AA58" s="330">
        <v>149</v>
      </c>
      <c r="AB58" s="330">
        <v>149</v>
      </c>
      <c r="AC58" s="330">
        <v>149</v>
      </c>
      <c r="AD58" s="146">
        <f>SUM(Q58:AC58)</f>
        <v>11600.17</v>
      </c>
      <c r="AE58" s="26">
        <v>7800</v>
      </c>
      <c r="AF58" s="26"/>
      <c r="AG58" s="146">
        <f>AE58-AD58</f>
        <v>-3800.17</v>
      </c>
      <c r="AH58" s="26">
        <f>-(AE58-AG58)</f>
        <v>-11600.17</v>
      </c>
      <c r="AI58" s="128">
        <f t="shared" si="30"/>
        <v>-3.0525397548004429</v>
      </c>
      <c r="AJ58" s="130"/>
      <c r="AK58" s="331">
        <f>1012+4898.5+150</f>
        <v>6060.5</v>
      </c>
      <c r="AL58" s="331">
        <v>15000</v>
      </c>
      <c r="AM58" s="26">
        <v>300</v>
      </c>
      <c r="AN58" s="26">
        <v>300</v>
      </c>
      <c r="AO58" s="26">
        <v>300</v>
      </c>
      <c r="AP58" s="26">
        <v>300</v>
      </c>
      <c r="AQ58" s="26">
        <v>300</v>
      </c>
      <c r="AR58" s="26">
        <v>300</v>
      </c>
      <c r="AS58" s="26">
        <v>300</v>
      </c>
      <c r="AT58" s="26">
        <v>300</v>
      </c>
      <c r="AU58" s="26">
        <v>300</v>
      </c>
      <c r="AV58" s="26">
        <v>300</v>
      </c>
      <c r="AW58" s="146">
        <f>SUM(AK58:AV58)</f>
        <v>24060.5</v>
      </c>
      <c r="AX58" s="146">
        <f t="shared" si="7"/>
        <v>11600.17</v>
      </c>
      <c r="AY58" s="27" t="s">
        <v>444</v>
      </c>
      <c r="AZ58" s="290"/>
      <c r="BA58" s="290"/>
    </row>
    <row r="59" spans="1:53" s="92" customFormat="1">
      <c r="A59" s="160" t="s">
        <v>207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2"/>
      <c r="N59" s="146"/>
      <c r="O59" s="12"/>
      <c r="P59" s="334"/>
      <c r="Q59" s="27"/>
      <c r="R59" s="312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146"/>
      <c r="AE59" s="26"/>
      <c r="AF59" s="26"/>
      <c r="AG59" s="146"/>
      <c r="AH59" s="26"/>
      <c r="AI59" s="128"/>
      <c r="AJ59" s="130"/>
      <c r="AK59" s="331">
        <v>4810</v>
      </c>
      <c r="AL59" s="331">
        <v>810</v>
      </c>
      <c r="AM59" s="331">
        <v>810</v>
      </c>
      <c r="AN59" s="331">
        <v>3810</v>
      </c>
      <c r="AO59" s="331">
        <v>3810</v>
      </c>
      <c r="AP59" s="331">
        <v>810</v>
      </c>
      <c r="AQ59" s="331">
        <v>810</v>
      </c>
      <c r="AR59" s="331">
        <v>810</v>
      </c>
      <c r="AS59" s="331">
        <v>3810</v>
      </c>
      <c r="AT59" s="331">
        <v>3810</v>
      </c>
      <c r="AU59" s="331">
        <v>810</v>
      </c>
      <c r="AV59" s="331">
        <v>810</v>
      </c>
      <c r="AW59" s="146">
        <f>SUM(AK59:AV59)</f>
        <v>25720</v>
      </c>
      <c r="AX59" s="146">
        <v>0</v>
      </c>
      <c r="AY59" s="27" t="s">
        <v>445</v>
      </c>
      <c r="AZ59" s="290"/>
      <c r="BA59" s="290"/>
    </row>
    <row r="60" spans="1:53" s="92" customFormat="1">
      <c r="A60" s="4" t="s">
        <v>446</v>
      </c>
      <c r="B60" s="146">
        <v>592.02</v>
      </c>
      <c r="C60" s="146">
        <v>0</v>
      </c>
      <c r="D60" s="146">
        <v>0</v>
      </c>
      <c r="E60" s="146">
        <v>0</v>
      </c>
      <c r="F60" s="146">
        <v>0</v>
      </c>
      <c r="G60" s="146">
        <v>70.3</v>
      </c>
      <c r="H60" s="146">
        <v>0</v>
      </c>
      <c r="I60" s="146">
        <v>0</v>
      </c>
      <c r="J60" s="146">
        <v>13.2</v>
      </c>
      <c r="K60" s="146">
        <v>1891.16</v>
      </c>
      <c r="L60" s="146">
        <v>2383.6999999999998</v>
      </c>
      <c r="M60" s="12">
        <v>2280.16</v>
      </c>
      <c r="N60" s="146">
        <f>SUM(B60:M60)</f>
        <v>7230.54</v>
      </c>
      <c r="O60" s="12">
        <v>10500</v>
      </c>
      <c r="P60" s="311">
        <f>O60-N60</f>
        <v>3269.46</v>
      </c>
      <c r="Q60" s="27"/>
      <c r="R60" s="312">
        <v>329.58</v>
      </c>
      <c r="S60" s="146">
        <v>985.33</v>
      </c>
      <c r="T60" s="146">
        <v>66.7</v>
      </c>
      <c r="U60" s="146">
        <v>10</v>
      </c>
      <c r="V60" s="146">
        <v>0</v>
      </c>
      <c r="W60" s="146">
        <v>22.05</v>
      </c>
      <c r="X60" s="146">
        <v>68.27</v>
      </c>
      <c r="Y60" s="146">
        <v>453.52</v>
      </c>
      <c r="Z60" s="146">
        <v>382.96</v>
      </c>
      <c r="AA60" s="146">
        <v>421.34</v>
      </c>
      <c r="AB60" s="146">
        <v>78.989999999999995</v>
      </c>
      <c r="AC60" s="146">
        <v>5886.46</v>
      </c>
      <c r="AD60" s="146">
        <f>SUM(Q60:AC60)</f>
        <v>8705.2000000000007</v>
      </c>
      <c r="AE60" s="26">
        <v>8400</v>
      </c>
      <c r="AF60" s="26"/>
      <c r="AG60" s="146">
        <f>AE60-AD60</f>
        <v>-305.20000000000073</v>
      </c>
      <c r="AH60" s="26">
        <f>-(AE60-AG60)</f>
        <v>-8705.2000000000007</v>
      </c>
      <c r="AI60" s="128">
        <f t="shared" si="30"/>
        <v>-28.522935779816446</v>
      </c>
      <c r="AJ60" s="130"/>
      <c r="AK60" s="12">
        <v>250</v>
      </c>
      <c r="AL60" s="12">
        <v>250</v>
      </c>
      <c r="AM60" s="26">
        <v>250</v>
      </c>
      <c r="AN60" s="26">
        <v>250</v>
      </c>
      <c r="AO60" s="26">
        <v>1000</v>
      </c>
      <c r="AP60" s="26">
        <v>250</v>
      </c>
      <c r="AQ60" s="26">
        <v>250</v>
      </c>
      <c r="AR60" s="26">
        <v>250</v>
      </c>
      <c r="AS60" s="26">
        <v>1000</v>
      </c>
      <c r="AT60" s="26">
        <v>250</v>
      </c>
      <c r="AU60" s="26">
        <v>250</v>
      </c>
      <c r="AV60" s="26">
        <v>2000</v>
      </c>
      <c r="AW60" s="146">
        <f>SUM(AK60:AV60)</f>
        <v>6250</v>
      </c>
      <c r="AX60" s="146">
        <f t="shared" si="7"/>
        <v>8705.2000000000007</v>
      </c>
      <c r="AY60" s="27"/>
      <c r="AZ60" s="290"/>
      <c r="BA60" s="290"/>
    </row>
    <row r="61" spans="1:53">
      <c r="A61" s="4" t="s">
        <v>63</v>
      </c>
      <c r="B61" s="146">
        <f>0</f>
        <v>0</v>
      </c>
      <c r="C61" s="146">
        <f>0</f>
        <v>0</v>
      </c>
      <c r="D61" s="146">
        <f>0</f>
        <v>0</v>
      </c>
      <c r="E61" s="146">
        <v>0</v>
      </c>
      <c r="F61" s="146">
        <v>0</v>
      </c>
      <c r="G61" s="146">
        <f>0</f>
        <v>0</v>
      </c>
      <c r="H61" s="146">
        <f>0</f>
        <v>0</v>
      </c>
      <c r="I61" s="146">
        <f>0</f>
        <v>0</v>
      </c>
      <c r="J61" s="146">
        <v>0</v>
      </c>
      <c r="K61" s="146">
        <v>0</v>
      </c>
      <c r="L61" s="146">
        <f>0</f>
        <v>0</v>
      </c>
      <c r="M61" s="12">
        <f>0</f>
        <v>0</v>
      </c>
      <c r="N61" s="146">
        <f>SUM(B61:M61)</f>
        <v>0</v>
      </c>
      <c r="O61" s="12">
        <v>1000</v>
      </c>
      <c r="P61" s="311">
        <f>O61-N61</f>
        <v>1000</v>
      </c>
      <c r="Q61" s="27"/>
      <c r="R61" s="312">
        <f>0</f>
        <v>0</v>
      </c>
      <c r="S61" s="146">
        <f>0</f>
        <v>0</v>
      </c>
      <c r="T61" s="146">
        <f>0</f>
        <v>0</v>
      </c>
      <c r="U61" s="146">
        <v>0</v>
      </c>
      <c r="V61" s="146">
        <f>0</f>
        <v>0</v>
      </c>
      <c r="W61" s="146">
        <f>0</f>
        <v>0</v>
      </c>
      <c r="X61" s="146">
        <f>0</f>
        <v>0</v>
      </c>
      <c r="Y61" s="146">
        <f>0</f>
        <v>0</v>
      </c>
      <c r="Z61" s="146">
        <v>0</v>
      </c>
      <c r="AA61" s="146">
        <v>0</v>
      </c>
      <c r="AB61" s="146">
        <f>0</f>
        <v>0</v>
      </c>
      <c r="AC61" s="146">
        <f>0</f>
        <v>0</v>
      </c>
      <c r="AD61" s="146">
        <f>SUM(Q61:AC61)</f>
        <v>0</v>
      </c>
      <c r="AE61" s="26">
        <v>0</v>
      </c>
      <c r="AF61" s="26"/>
      <c r="AG61" s="146">
        <f>AE61-AD61</f>
        <v>0</v>
      </c>
      <c r="AH61" s="138">
        <f>-(AE61-AG61)</f>
        <v>0</v>
      </c>
      <c r="AI61" s="128"/>
      <c r="AJ61" s="130"/>
      <c r="AK61" s="12">
        <f>0</f>
        <v>0</v>
      </c>
      <c r="AL61" s="12">
        <f>0</f>
        <v>0</v>
      </c>
      <c r="AM61" s="12">
        <f>0</f>
        <v>0</v>
      </c>
      <c r="AN61" s="12">
        <v>500</v>
      </c>
      <c r="AO61" s="12">
        <f>0</f>
        <v>0</v>
      </c>
      <c r="AP61" s="12">
        <f>0</f>
        <v>0</v>
      </c>
      <c r="AQ61" s="12">
        <f>0</f>
        <v>0</v>
      </c>
      <c r="AR61" s="12">
        <f>0</f>
        <v>0</v>
      </c>
      <c r="AS61" s="12">
        <v>0</v>
      </c>
      <c r="AT61" s="12">
        <v>500</v>
      </c>
      <c r="AU61" s="12">
        <f>0</f>
        <v>0</v>
      </c>
      <c r="AV61" s="12">
        <f>0</f>
        <v>0</v>
      </c>
      <c r="AW61" s="146">
        <f>SUM(AK61:AV61)</f>
        <v>1000</v>
      </c>
      <c r="AX61" s="315">
        <f t="shared" si="7"/>
        <v>0</v>
      </c>
      <c r="AZ61" s="290"/>
      <c r="BA61" s="290"/>
    </row>
    <row r="62" spans="1:53">
      <c r="A62" s="32" t="s">
        <v>447</v>
      </c>
      <c r="B62" s="316">
        <f>SUM(B57:B61)</f>
        <v>1594.1</v>
      </c>
      <c r="C62" s="316">
        <f t="shared" ref="C62:P62" si="34">SUM(C57:C61)</f>
        <v>2582.16</v>
      </c>
      <c r="D62" s="316">
        <f t="shared" si="34"/>
        <v>1479</v>
      </c>
      <c r="E62" s="316">
        <f t="shared" si="34"/>
        <v>1165.21</v>
      </c>
      <c r="F62" s="316">
        <f t="shared" si="34"/>
        <v>2108.81</v>
      </c>
      <c r="G62" s="316">
        <f t="shared" si="34"/>
        <v>2047.74</v>
      </c>
      <c r="H62" s="316">
        <f t="shared" si="34"/>
        <v>1574</v>
      </c>
      <c r="I62" s="316">
        <f t="shared" si="34"/>
        <v>177.63</v>
      </c>
      <c r="J62" s="316">
        <f t="shared" si="34"/>
        <v>162.19999999999999</v>
      </c>
      <c r="K62" s="316">
        <f t="shared" si="34"/>
        <v>4151.6000000000004</v>
      </c>
      <c r="L62" s="316">
        <f t="shared" si="34"/>
        <v>3081.67</v>
      </c>
      <c r="M62" s="20">
        <f t="shared" si="34"/>
        <v>5769.6</v>
      </c>
      <c r="N62" s="316">
        <f t="shared" si="34"/>
        <v>25893.72</v>
      </c>
      <c r="O62" s="20">
        <f t="shared" si="34"/>
        <v>31300</v>
      </c>
      <c r="P62" s="20">
        <f t="shared" si="34"/>
        <v>5406.2799999999988</v>
      </c>
      <c r="Q62" s="290"/>
      <c r="R62" s="317">
        <f>SUM(R57:R61)</f>
        <v>501.42999999999995</v>
      </c>
      <c r="S62" s="316">
        <f t="shared" ref="S62:AD62" si="35">SUM(S57:S61)</f>
        <v>1172.54</v>
      </c>
      <c r="T62" s="316">
        <f t="shared" si="35"/>
        <v>219.3</v>
      </c>
      <c r="U62" s="316">
        <f t="shared" si="35"/>
        <v>199</v>
      </c>
      <c r="V62" s="316">
        <f t="shared" si="35"/>
        <v>833.75</v>
      </c>
      <c r="W62" s="316">
        <f t="shared" si="35"/>
        <v>737.83999999999992</v>
      </c>
      <c r="X62" s="316">
        <f t="shared" si="35"/>
        <v>14549.84</v>
      </c>
      <c r="Y62" s="316">
        <f>SUM(Y57:Y61)</f>
        <v>1762.48</v>
      </c>
      <c r="Z62" s="316">
        <f t="shared" si="35"/>
        <v>1891.8700000000001</v>
      </c>
      <c r="AA62" s="316">
        <f t="shared" si="35"/>
        <v>570.33999999999992</v>
      </c>
      <c r="AB62" s="316">
        <f t="shared" si="35"/>
        <v>709.64</v>
      </c>
      <c r="AC62" s="316">
        <f t="shared" si="35"/>
        <v>7816.1</v>
      </c>
      <c r="AD62" s="316">
        <f t="shared" si="35"/>
        <v>30964.13</v>
      </c>
      <c r="AE62" s="318">
        <f>SUM(AE57:AE61)</f>
        <v>28200</v>
      </c>
      <c r="AF62" s="318"/>
      <c r="AG62" s="145">
        <f>SUM(AG57:AG61)</f>
        <v>-2764.1299999999992</v>
      </c>
      <c r="AH62" s="26">
        <f>-(AE62-AG62)</f>
        <v>-30964.129999999997</v>
      </c>
      <c r="AI62" s="128">
        <f t="shared" si="30"/>
        <v>-11.202125080947715</v>
      </c>
      <c r="AJ62" s="27"/>
      <c r="AK62" s="20">
        <f>SUM(AK57:AK61)</f>
        <v>12120.5</v>
      </c>
      <c r="AL62" s="20">
        <f t="shared" ref="AL62:AW62" si="36">SUM(AL57:AL61)</f>
        <v>26060</v>
      </c>
      <c r="AM62" s="20">
        <f t="shared" si="36"/>
        <v>2360</v>
      </c>
      <c r="AN62" s="20">
        <f t="shared" si="36"/>
        <v>5860</v>
      </c>
      <c r="AO62" s="20">
        <f t="shared" si="36"/>
        <v>10110</v>
      </c>
      <c r="AP62" s="20">
        <f t="shared" si="36"/>
        <v>2360</v>
      </c>
      <c r="AQ62" s="20">
        <f t="shared" si="36"/>
        <v>2360</v>
      </c>
      <c r="AR62" s="20">
        <f t="shared" si="36"/>
        <v>6360</v>
      </c>
      <c r="AS62" s="20">
        <f t="shared" si="36"/>
        <v>6110</v>
      </c>
      <c r="AT62" s="20">
        <f t="shared" si="36"/>
        <v>8860</v>
      </c>
      <c r="AU62" s="20">
        <f t="shared" si="36"/>
        <v>2360</v>
      </c>
      <c r="AV62" s="20">
        <f t="shared" si="36"/>
        <v>4110</v>
      </c>
      <c r="AW62" s="316">
        <f t="shared" si="36"/>
        <v>89030.5</v>
      </c>
      <c r="AX62" s="163">
        <f t="shared" si="7"/>
        <v>30964.13</v>
      </c>
      <c r="AZ62" s="290"/>
      <c r="BA62" s="290"/>
    </row>
    <row r="63" spans="1:53" ht="6" customHeight="1">
      <c r="A63" s="1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13"/>
      <c r="N63" s="319"/>
      <c r="O63" s="13"/>
      <c r="P63" s="292"/>
      <c r="Q63" s="27"/>
      <c r="R63" s="320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1"/>
      <c r="AF63" s="321"/>
      <c r="AG63" s="319"/>
      <c r="AH63" s="321"/>
      <c r="AI63" s="128"/>
      <c r="AJ63" s="27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319"/>
      <c r="AX63" s="146"/>
      <c r="AZ63" s="290"/>
      <c r="BA63" s="290"/>
    </row>
    <row r="64" spans="1:53">
      <c r="A64" s="1" t="s">
        <v>448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2"/>
      <c r="N64" s="146"/>
      <c r="O64" s="12"/>
      <c r="P64" s="292"/>
      <c r="Q64" s="27" t="s">
        <v>66</v>
      </c>
      <c r="R64" s="312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26"/>
      <c r="AF64" s="26"/>
      <c r="AG64" s="146"/>
      <c r="AH64" s="26"/>
      <c r="AI64" s="128"/>
      <c r="AJ64" s="27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46"/>
      <c r="AX64" s="146">
        <f t="shared" si="7"/>
        <v>0</v>
      </c>
      <c r="AZ64" s="290"/>
      <c r="BA64" s="290"/>
    </row>
    <row r="65" spans="1:51">
      <c r="A65" s="4" t="s">
        <v>67</v>
      </c>
      <c r="B65" s="146">
        <v>0</v>
      </c>
      <c r="C65" s="146">
        <f>0</f>
        <v>0</v>
      </c>
      <c r="D65" s="146">
        <v>0</v>
      </c>
      <c r="E65" s="146">
        <v>500</v>
      </c>
      <c r="F65" s="146">
        <v>0</v>
      </c>
      <c r="G65" s="146">
        <v>0</v>
      </c>
      <c r="H65" s="146">
        <f>0</f>
        <v>0</v>
      </c>
      <c r="I65" s="146">
        <f>0</f>
        <v>0</v>
      </c>
      <c r="J65" s="146">
        <v>0</v>
      </c>
      <c r="K65" s="146">
        <v>0</v>
      </c>
      <c r="L65" s="146">
        <v>0</v>
      </c>
      <c r="M65" s="12">
        <f>0</f>
        <v>0</v>
      </c>
      <c r="N65" s="146">
        <f t="shared" ref="N65:N70" si="37">SUM(B65:M65)</f>
        <v>500</v>
      </c>
      <c r="O65" s="12">
        <v>10000</v>
      </c>
      <c r="P65" s="311">
        <v>0</v>
      </c>
      <c r="Q65" s="311">
        <v>0</v>
      </c>
      <c r="R65" s="335">
        <v>0</v>
      </c>
      <c r="S65" s="336">
        <v>0</v>
      </c>
      <c r="T65" s="336">
        <v>0</v>
      </c>
      <c r="U65" s="336">
        <v>0</v>
      </c>
      <c r="V65" s="336">
        <v>0</v>
      </c>
      <c r="W65" s="336">
        <v>0</v>
      </c>
      <c r="X65" s="336">
        <v>0</v>
      </c>
      <c r="Y65" s="336">
        <v>0</v>
      </c>
      <c r="Z65" s="336">
        <v>0</v>
      </c>
      <c r="AA65" s="336">
        <v>0</v>
      </c>
      <c r="AB65" s="336">
        <v>0</v>
      </c>
      <c r="AC65" s="336">
        <v>0</v>
      </c>
      <c r="AD65" s="146">
        <f>SUM(Q65:AC65)</f>
        <v>0</v>
      </c>
      <c r="AE65" s="26">
        <v>0</v>
      </c>
      <c r="AF65" s="26"/>
      <c r="AG65" s="146">
        <f>AE65-AD65</f>
        <v>0</v>
      </c>
      <c r="AH65" s="26">
        <f>-(AE65-AG65)</f>
        <v>0</v>
      </c>
      <c r="AI65" s="128" t="e">
        <f t="shared" si="30"/>
        <v>#DIV/0!</v>
      </c>
      <c r="AJ65" s="27"/>
      <c r="AK65" s="12">
        <v>0</v>
      </c>
      <c r="AL65" s="12">
        <f>0</f>
        <v>0</v>
      </c>
      <c r="AM65" s="12">
        <f>0</f>
        <v>0</v>
      </c>
      <c r="AN65" s="12">
        <f>0</f>
        <v>0</v>
      </c>
      <c r="AO65" s="12">
        <v>0</v>
      </c>
      <c r="AP65" s="12">
        <v>0</v>
      </c>
      <c r="AQ65" s="12">
        <f>0</f>
        <v>0</v>
      </c>
      <c r="AR65" s="12">
        <f>0</f>
        <v>0</v>
      </c>
      <c r="AS65" s="12">
        <v>0</v>
      </c>
      <c r="AT65" s="12">
        <v>0</v>
      </c>
      <c r="AU65" s="12">
        <v>0</v>
      </c>
      <c r="AV65" s="12">
        <f>0</f>
        <v>0</v>
      </c>
      <c r="AW65" s="146">
        <f t="shared" ref="AW65:AW70" si="38">SUM(AK65:AV65)</f>
        <v>0</v>
      </c>
      <c r="AX65" s="146">
        <f t="shared" si="7"/>
        <v>0</v>
      </c>
    </row>
    <row r="66" spans="1:51">
      <c r="A66" s="4" t="s">
        <v>68</v>
      </c>
      <c r="B66" s="146">
        <f>0</f>
        <v>0</v>
      </c>
      <c r="C66" s="146">
        <f>0</f>
        <v>0</v>
      </c>
      <c r="D66" s="146">
        <v>0</v>
      </c>
      <c r="E66" s="146">
        <f>0</f>
        <v>0</v>
      </c>
      <c r="F66" s="146">
        <f>0</f>
        <v>0</v>
      </c>
      <c r="G66" s="146">
        <v>12.13</v>
      </c>
      <c r="H66" s="146">
        <v>54.99</v>
      </c>
      <c r="I66" s="146">
        <v>0</v>
      </c>
      <c r="J66" s="146">
        <v>0</v>
      </c>
      <c r="K66" s="146">
        <v>0</v>
      </c>
      <c r="L66" s="146">
        <f>0</f>
        <v>0</v>
      </c>
      <c r="M66" s="12">
        <f>0</f>
        <v>0</v>
      </c>
      <c r="N66" s="146">
        <f t="shared" si="37"/>
        <v>67.12</v>
      </c>
      <c r="O66" s="12">
        <v>500</v>
      </c>
      <c r="P66" s="311">
        <v>0</v>
      </c>
      <c r="Q66" s="311">
        <v>0</v>
      </c>
      <c r="R66" s="335">
        <v>0</v>
      </c>
      <c r="S66" s="336">
        <v>208.79</v>
      </c>
      <c r="T66" s="336">
        <v>258.12</v>
      </c>
      <c r="U66" s="336">
        <v>163.94</v>
      </c>
      <c r="V66" s="336">
        <v>141.32</v>
      </c>
      <c r="W66" s="336">
        <v>0</v>
      </c>
      <c r="X66" s="336">
        <v>76.09</v>
      </c>
      <c r="Y66" s="336">
        <v>36.75</v>
      </c>
      <c r="Z66" s="336">
        <v>0</v>
      </c>
      <c r="AA66" s="336">
        <v>0</v>
      </c>
      <c r="AB66" s="336">
        <v>943.87</v>
      </c>
      <c r="AC66" s="336">
        <v>0</v>
      </c>
      <c r="AD66" s="146">
        <f t="shared" ref="AD66:AD71" si="39">SUM(Q66:AC66)</f>
        <v>1828.8799999999999</v>
      </c>
      <c r="AE66" s="26">
        <v>0</v>
      </c>
      <c r="AF66" s="26"/>
      <c r="AG66" s="146">
        <f t="shared" ref="AG66:AG71" si="40">AE66-AD66</f>
        <v>-1828.8799999999999</v>
      </c>
      <c r="AH66" s="26">
        <f t="shared" ref="AH66:AH72" si="41">-(AE66-AG66)</f>
        <v>-1828.8799999999999</v>
      </c>
      <c r="AI66" s="128">
        <f t="shared" si="30"/>
        <v>-1</v>
      </c>
      <c r="AJ66" s="27"/>
      <c r="AK66" s="12">
        <f>0</f>
        <v>0</v>
      </c>
      <c r="AL66" s="12">
        <f>0</f>
        <v>0</v>
      </c>
      <c r="AM66" s="12">
        <v>0</v>
      </c>
      <c r="AN66" s="12">
        <f>0</f>
        <v>0</v>
      </c>
      <c r="AO66" s="12">
        <f>0</f>
        <v>0</v>
      </c>
      <c r="AP66" s="12">
        <f>0</f>
        <v>0</v>
      </c>
      <c r="AQ66" s="12">
        <f>0</f>
        <v>0</v>
      </c>
      <c r="AR66" s="12">
        <v>0</v>
      </c>
      <c r="AS66" s="12">
        <v>0</v>
      </c>
      <c r="AT66" s="12">
        <v>0</v>
      </c>
      <c r="AU66" s="12">
        <f>0</f>
        <v>0</v>
      </c>
      <c r="AV66" s="12">
        <f>0</f>
        <v>0</v>
      </c>
      <c r="AW66" s="146">
        <f t="shared" si="38"/>
        <v>0</v>
      </c>
      <c r="AX66" s="146">
        <f t="shared" si="7"/>
        <v>1828.8799999999999</v>
      </c>
    </row>
    <row r="67" spans="1:51">
      <c r="A67" s="4" t="s">
        <v>69</v>
      </c>
      <c r="B67" s="146">
        <f>0</f>
        <v>0</v>
      </c>
      <c r="C67" s="146">
        <v>900</v>
      </c>
      <c r="D67" s="146">
        <f>0</f>
        <v>0</v>
      </c>
      <c r="E67" s="146">
        <v>0</v>
      </c>
      <c r="F67" s="146">
        <v>0</v>
      </c>
      <c r="G67" s="146">
        <f>0</f>
        <v>0</v>
      </c>
      <c r="H67" s="146">
        <f>0</f>
        <v>0</v>
      </c>
      <c r="I67" s="146">
        <v>0</v>
      </c>
      <c r="J67" s="146">
        <v>0</v>
      </c>
      <c r="K67" s="146">
        <v>0</v>
      </c>
      <c r="L67" s="146">
        <f>0</f>
        <v>0</v>
      </c>
      <c r="M67" s="12">
        <f>0</f>
        <v>0</v>
      </c>
      <c r="N67" s="146">
        <f t="shared" si="37"/>
        <v>900</v>
      </c>
      <c r="O67" s="12">
        <v>24000</v>
      </c>
      <c r="P67" s="311">
        <v>0</v>
      </c>
      <c r="Q67" s="311">
        <v>0</v>
      </c>
      <c r="R67" s="335">
        <v>0</v>
      </c>
      <c r="S67" s="336">
        <v>0</v>
      </c>
      <c r="T67" s="336">
        <v>0</v>
      </c>
      <c r="U67" s="336">
        <v>0</v>
      </c>
      <c r="V67" s="336">
        <v>0</v>
      </c>
      <c r="W67" s="336">
        <v>0</v>
      </c>
      <c r="X67" s="336">
        <v>0</v>
      </c>
      <c r="Y67" s="336">
        <v>0</v>
      </c>
      <c r="Z67" s="336">
        <v>0</v>
      </c>
      <c r="AA67" s="336">
        <v>0</v>
      </c>
      <c r="AB67" s="336">
        <v>1321.4</v>
      </c>
      <c r="AC67" s="336">
        <v>0</v>
      </c>
      <c r="AD67" s="146">
        <f t="shared" si="39"/>
        <v>1321.4</v>
      </c>
      <c r="AE67" s="26">
        <v>6000</v>
      </c>
      <c r="AF67" s="26"/>
      <c r="AG67" s="146">
        <f t="shared" si="40"/>
        <v>4678.6000000000004</v>
      </c>
      <c r="AH67" s="26">
        <f t="shared" si="41"/>
        <v>-1321.3999999999996</v>
      </c>
      <c r="AI67" s="128">
        <f t="shared" si="30"/>
        <v>0.28243491642799118</v>
      </c>
      <c r="AJ67" s="27" t="s">
        <v>449</v>
      </c>
      <c r="AK67" s="12">
        <f>0</f>
        <v>0</v>
      </c>
      <c r="AL67" s="12">
        <f>0</f>
        <v>0</v>
      </c>
      <c r="AM67" s="12">
        <f>0</f>
        <v>0</v>
      </c>
      <c r="AN67" s="12">
        <v>0</v>
      </c>
      <c r="AO67" s="12">
        <v>0</v>
      </c>
      <c r="AP67" s="12">
        <f>0</f>
        <v>0</v>
      </c>
      <c r="AQ67" s="12">
        <f>0</f>
        <v>0</v>
      </c>
      <c r="AR67" s="12">
        <v>0</v>
      </c>
      <c r="AS67" s="12">
        <v>0</v>
      </c>
      <c r="AT67" s="12">
        <v>0</v>
      </c>
      <c r="AU67" s="12">
        <f>0</f>
        <v>0</v>
      </c>
      <c r="AV67" s="12">
        <f>0</f>
        <v>0</v>
      </c>
      <c r="AW67" s="146">
        <f t="shared" si="38"/>
        <v>0</v>
      </c>
      <c r="AX67" s="146">
        <f t="shared" si="7"/>
        <v>1321.4</v>
      </c>
    </row>
    <row r="68" spans="1:51">
      <c r="A68" s="4" t="s">
        <v>70</v>
      </c>
      <c r="B68" s="146">
        <f>0</f>
        <v>0</v>
      </c>
      <c r="C68" s="146">
        <f>0</f>
        <v>0</v>
      </c>
      <c r="D68" s="146">
        <f>0</f>
        <v>0</v>
      </c>
      <c r="E68" s="146">
        <f>0</f>
        <v>0</v>
      </c>
      <c r="F68" s="146">
        <f>0</f>
        <v>0</v>
      </c>
      <c r="G68" s="146">
        <f>0</f>
        <v>0</v>
      </c>
      <c r="H68" s="146">
        <f>0</f>
        <v>0</v>
      </c>
      <c r="I68" s="146">
        <v>0</v>
      </c>
      <c r="J68" s="146">
        <v>0</v>
      </c>
      <c r="K68" s="146">
        <v>0</v>
      </c>
      <c r="L68" s="146">
        <f>0</f>
        <v>0</v>
      </c>
      <c r="M68" s="12">
        <f>0</f>
        <v>0</v>
      </c>
      <c r="N68" s="146">
        <f t="shared" si="37"/>
        <v>0</v>
      </c>
      <c r="O68" s="12">
        <v>16000</v>
      </c>
      <c r="P68" s="311">
        <v>0</v>
      </c>
      <c r="Q68" s="311">
        <v>0</v>
      </c>
      <c r="R68" s="335">
        <v>0</v>
      </c>
      <c r="S68" s="336">
        <v>1543.51</v>
      </c>
      <c r="T68" s="336">
        <v>94.17</v>
      </c>
      <c r="U68" s="336">
        <v>1340.77</v>
      </c>
      <c r="V68" s="336">
        <v>1571.46</v>
      </c>
      <c r="W68" s="336">
        <v>0</v>
      </c>
      <c r="X68" s="336">
        <v>0</v>
      </c>
      <c r="Y68" s="336">
        <v>739.23</v>
      </c>
      <c r="Z68" s="336">
        <v>0</v>
      </c>
      <c r="AA68" s="336">
        <v>0</v>
      </c>
      <c r="AB68" s="336">
        <v>0</v>
      </c>
      <c r="AC68" s="336">
        <v>0</v>
      </c>
      <c r="AD68" s="146">
        <f t="shared" si="39"/>
        <v>5289.1399999999994</v>
      </c>
      <c r="AE68" s="26">
        <v>0</v>
      </c>
      <c r="AF68" s="26"/>
      <c r="AG68" s="146">
        <f t="shared" si="40"/>
        <v>-5289.1399999999994</v>
      </c>
      <c r="AH68" s="26">
        <f t="shared" si="41"/>
        <v>-5289.1399999999994</v>
      </c>
      <c r="AI68" s="128"/>
      <c r="AJ68" s="27"/>
      <c r="AK68" s="12">
        <f>0</f>
        <v>0</v>
      </c>
      <c r="AL68" s="12">
        <f>0</f>
        <v>0</v>
      </c>
      <c r="AM68" s="12">
        <f>0</f>
        <v>0</v>
      </c>
      <c r="AN68" s="12">
        <f>0</f>
        <v>0</v>
      </c>
      <c r="AO68" s="12">
        <f>0</f>
        <v>0</v>
      </c>
      <c r="AP68" s="12">
        <f>0</f>
        <v>0</v>
      </c>
      <c r="AQ68" s="12">
        <f>0</f>
        <v>0</v>
      </c>
      <c r="AR68" s="12">
        <v>0</v>
      </c>
      <c r="AS68" s="12">
        <v>0</v>
      </c>
      <c r="AT68" s="12">
        <v>0</v>
      </c>
      <c r="AU68" s="12">
        <f>0</f>
        <v>0</v>
      </c>
      <c r="AV68" s="12">
        <f>0</f>
        <v>0</v>
      </c>
      <c r="AW68" s="146">
        <f t="shared" si="38"/>
        <v>0</v>
      </c>
      <c r="AX68" s="146">
        <f t="shared" si="7"/>
        <v>5289.1399999999994</v>
      </c>
    </row>
    <row r="69" spans="1:51">
      <c r="A69" s="4" t="s">
        <v>71</v>
      </c>
      <c r="B69" s="146">
        <f>0</f>
        <v>0</v>
      </c>
      <c r="C69" s="146">
        <v>3087</v>
      </c>
      <c r="D69" s="146">
        <f>0</f>
        <v>0</v>
      </c>
      <c r="E69" s="146">
        <f>0</f>
        <v>0</v>
      </c>
      <c r="F69" s="146">
        <f>0</f>
        <v>0</v>
      </c>
      <c r="G69" s="146">
        <f>0</f>
        <v>0</v>
      </c>
      <c r="H69" s="146">
        <f>0</f>
        <v>0</v>
      </c>
      <c r="I69" s="146">
        <v>0</v>
      </c>
      <c r="J69" s="146">
        <v>0</v>
      </c>
      <c r="K69" s="146">
        <v>0</v>
      </c>
      <c r="L69" s="146">
        <f>0</f>
        <v>0</v>
      </c>
      <c r="M69" s="12">
        <f>0</f>
        <v>0</v>
      </c>
      <c r="N69" s="146">
        <f t="shared" si="37"/>
        <v>3087</v>
      </c>
      <c r="O69" s="12">
        <v>28000</v>
      </c>
      <c r="P69" s="311">
        <v>0</v>
      </c>
      <c r="Q69" s="311">
        <v>0</v>
      </c>
      <c r="R69" s="335">
        <v>0</v>
      </c>
      <c r="S69" s="336">
        <v>0</v>
      </c>
      <c r="T69" s="336">
        <v>0</v>
      </c>
      <c r="U69" s="336">
        <v>0</v>
      </c>
      <c r="V69" s="336">
        <v>0</v>
      </c>
      <c r="W69" s="336">
        <v>0</v>
      </c>
      <c r="X69" s="336">
        <v>0</v>
      </c>
      <c r="Y69" s="336">
        <v>0</v>
      </c>
      <c r="Z69" s="336">
        <v>0</v>
      </c>
      <c r="AA69" s="336">
        <v>0</v>
      </c>
      <c r="AB69" s="336">
        <v>0</v>
      </c>
      <c r="AC69" s="336">
        <v>0</v>
      </c>
      <c r="AD69" s="146">
        <f t="shared" si="39"/>
        <v>0</v>
      </c>
      <c r="AE69" s="26">
        <v>0</v>
      </c>
      <c r="AF69" s="26"/>
      <c r="AG69" s="146">
        <f t="shared" si="40"/>
        <v>0</v>
      </c>
      <c r="AH69" s="26">
        <f t="shared" si="41"/>
        <v>0</v>
      </c>
      <c r="AI69" s="128" t="e">
        <f t="shared" si="30"/>
        <v>#DIV/0!</v>
      </c>
      <c r="AJ69" s="27"/>
      <c r="AK69" s="12">
        <f>0</f>
        <v>0</v>
      </c>
      <c r="AL69" s="12">
        <f>0</f>
        <v>0</v>
      </c>
      <c r="AM69" s="12">
        <f>0</f>
        <v>0</v>
      </c>
      <c r="AN69" s="12">
        <f>0</f>
        <v>0</v>
      </c>
      <c r="AO69" s="12">
        <f>0</f>
        <v>0</v>
      </c>
      <c r="AP69" s="12">
        <f>0</f>
        <v>0</v>
      </c>
      <c r="AQ69" s="12">
        <f>0</f>
        <v>0</v>
      </c>
      <c r="AR69" s="12">
        <v>0</v>
      </c>
      <c r="AS69" s="12">
        <v>0</v>
      </c>
      <c r="AT69" s="12">
        <v>0</v>
      </c>
      <c r="AU69" s="12">
        <f>0</f>
        <v>0</v>
      </c>
      <c r="AV69" s="12">
        <f>0</f>
        <v>0</v>
      </c>
      <c r="AW69" s="146">
        <f t="shared" si="38"/>
        <v>0</v>
      </c>
      <c r="AX69" s="146">
        <f t="shared" si="7"/>
        <v>0</v>
      </c>
    </row>
    <row r="70" spans="1:51">
      <c r="A70" s="4" t="s">
        <v>72</v>
      </c>
      <c r="B70" s="146">
        <f>0</f>
        <v>0</v>
      </c>
      <c r="C70" s="146">
        <f>0</f>
        <v>0</v>
      </c>
      <c r="D70" s="146">
        <f>0</f>
        <v>0</v>
      </c>
      <c r="E70" s="146">
        <v>124.32</v>
      </c>
      <c r="F70" s="146">
        <f>0</f>
        <v>0</v>
      </c>
      <c r="G70" s="146">
        <f>0</f>
        <v>0</v>
      </c>
      <c r="H70" s="146">
        <f>0</f>
        <v>0</v>
      </c>
      <c r="I70" s="146">
        <v>0</v>
      </c>
      <c r="J70" s="146">
        <v>0</v>
      </c>
      <c r="K70" s="146">
        <v>0</v>
      </c>
      <c r="L70" s="146">
        <f>0</f>
        <v>0</v>
      </c>
      <c r="M70" s="12">
        <f>0</f>
        <v>0</v>
      </c>
      <c r="N70" s="146">
        <f t="shared" si="37"/>
        <v>124.32</v>
      </c>
      <c r="O70" s="12">
        <v>8000</v>
      </c>
      <c r="P70" s="311">
        <v>0</v>
      </c>
      <c r="Q70" s="311">
        <v>0</v>
      </c>
      <c r="R70" s="335">
        <v>0</v>
      </c>
      <c r="S70" s="336">
        <v>582.62</v>
      </c>
      <c r="T70" s="336">
        <v>378.13</v>
      </c>
      <c r="U70" s="336">
        <v>999.53</v>
      </c>
      <c r="V70" s="336">
        <v>345.39</v>
      </c>
      <c r="W70" s="336">
        <v>0</v>
      </c>
      <c r="X70" s="336">
        <v>0</v>
      </c>
      <c r="Y70" s="336">
        <v>202.7</v>
      </c>
      <c r="Z70" s="336">
        <v>0</v>
      </c>
      <c r="AA70" s="336">
        <v>0</v>
      </c>
      <c r="AB70" s="336"/>
      <c r="AC70" s="336">
        <v>0</v>
      </c>
      <c r="AD70" s="146">
        <f t="shared" si="39"/>
        <v>2508.37</v>
      </c>
      <c r="AE70" s="26">
        <v>4000</v>
      </c>
      <c r="AF70" s="26"/>
      <c r="AG70" s="146">
        <f t="shared" si="40"/>
        <v>1491.63</v>
      </c>
      <c r="AH70" s="26">
        <f t="shared" si="41"/>
        <v>-2508.37</v>
      </c>
      <c r="AI70" s="128">
        <f t="shared" si="30"/>
        <v>1.681630162976073</v>
      </c>
      <c r="AJ70" s="27" t="s">
        <v>450</v>
      </c>
      <c r="AK70" s="12">
        <f>0</f>
        <v>0</v>
      </c>
      <c r="AL70" s="12">
        <f>0</f>
        <v>0</v>
      </c>
      <c r="AM70" s="12">
        <f>0</f>
        <v>0</v>
      </c>
      <c r="AN70" s="12">
        <f>0</f>
        <v>0</v>
      </c>
      <c r="AO70" s="12">
        <f>0</f>
        <v>0</v>
      </c>
      <c r="AP70" s="12">
        <f>0</f>
        <v>0</v>
      </c>
      <c r="AQ70" s="12">
        <f>0</f>
        <v>0</v>
      </c>
      <c r="AR70" s="12">
        <v>0</v>
      </c>
      <c r="AS70" s="12">
        <v>0</v>
      </c>
      <c r="AT70" s="12">
        <f>0</f>
        <v>0</v>
      </c>
      <c r="AU70" s="12">
        <f>0</f>
        <v>0</v>
      </c>
      <c r="AV70" s="12">
        <f>0</f>
        <v>0</v>
      </c>
      <c r="AW70" s="146">
        <f t="shared" si="38"/>
        <v>0</v>
      </c>
      <c r="AX70" s="146">
        <f t="shared" si="7"/>
        <v>2508.37</v>
      </c>
    </row>
    <row r="71" spans="1:51">
      <c r="A71" s="4" t="s">
        <v>73</v>
      </c>
      <c r="B71" s="146">
        <f>0</f>
        <v>0</v>
      </c>
      <c r="C71" s="146">
        <v>1525</v>
      </c>
      <c r="D71" s="146">
        <v>953</v>
      </c>
      <c r="E71" s="146">
        <f>0</f>
        <v>0</v>
      </c>
      <c r="F71" s="146">
        <f>0</f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f>0</f>
        <v>0</v>
      </c>
      <c r="M71" s="12">
        <f>0</f>
        <v>0</v>
      </c>
      <c r="N71" s="146">
        <f>SUM(B71:M71)</f>
        <v>2478</v>
      </c>
      <c r="O71" s="12">
        <v>12500</v>
      </c>
      <c r="P71" s="311">
        <v>0</v>
      </c>
      <c r="Q71" s="311">
        <v>0</v>
      </c>
      <c r="R71" s="335">
        <v>0</v>
      </c>
      <c r="S71" s="336">
        <v>0</v>
      </c>
      <c r="T71" s="336">
        <v>0</v>
      </c>
      <c r="U71" s="336">
        <v>0</v>
      </c>
      <c r="V71" s="336">
        <v>0</v>
      </c>
      <c r="W71" s="336">
        <v>0</v>
      </c>
      <c r="X71" s="336">
        <v>0</v>
      </c>
      <c r="Y71" s="336">
        <v>0</v>
      </c>
      <c r="Z71" s="336">
        <v>0</v>
      </c>
      <c r="AA71" s="336">
        <v>0</v>
      </c>
      <c r="AB71" s="336"/>
      <c r="AC71" s="336">
        <v>0</v>
      </c>
      <c r="AD71" s="146">
        <f t="shared" si="39"/>
        <v>0</v>
      </c>
      <c r="AE71" s="26">
        <v>0</v>
      </c>
      <c r="AF71" s="26"/>
      <c r="AG71" s="146">
        <f t="shared" si="40"/>
        <v>0</v>
      </c>
      <c r="AH71" s="138">
        <f t="shared" si="41"/>
        <v>0</v>
      </c>
      <c r="AI71" s="129" t="e">
        <f t="shared" si="30"/>
        <v>#DIV/0!</v>
      </c>
      <c r="AJ71" s="27"/>
      <c r="AK71" s="12">
        <f>0</f>
        <v>0</v>
      </c>
      <c r="AL71" s="12">
        <f>0</f>
        <v>0</v>
      </c>
      <c r="AM71" s="12">
        <f>0</f>
        <v>0</v>
      </c>
      <c r="AN71" s="12">
        <f>0</f>
        <v>0</v>
      </c>
      <c r="AO71" s="12">
        <f>0</f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f>0</f>
        <v>0</v>
      </c>
      <c r="AU71" s="12">
        <f>0</f>
        <v>0</v>
      </c>
      <c r="AV71" s="12">
        <f>0</f>
        <v>0</v>
      </c>
      <c r="AW71" s="146">
        <f>SUM(AK71:AV71)</f>
        <v>0</v>
      </c>
      <c r="AX71" s="315">
        <f t="shared" si="7"/>
        <v>0</v>
      </c>
    </row>
    <row r="72" spans="1:51">
      <c r="A72" s="1" t="s">
        <v>74</v>
      </c>
      <c r="B72" s="316">
        <f>SUM(B65:B71)</f>
        <v>0</v>
      </c>
      <c r="C72" s="316">
        <f t="shared" ref="C72:M72" si="42">SUM(C65:C71)</f>
        <v>5512</v>
      </c>
      <c r="D72" s="316">
        <f t="shared" si="42"/>
        <v>953</v>
      </c>
      <c r="E72" s="316">
        <f t="shared" si="42"/>
        <v>624.31999999999994</v>
      </c>
      <c r="F72" s="316">
        <f t="shared" si="42"/>
        <v>0</v>
      </c>
      <c r="G72" s="316">
        <f t="shared" si="42"/>
        <v>12.13</v>
      </c>
      <c r="H72" s="316">
        <f t="shared" si="42"/>
        <v>54.99</v>
      </c>
      <c r="I72" s="316">
        <f t="shared" si="42"/>
        <v>0</v>
      </c>
      <c r="J72" s="316">
        <f t="shared" si="42"/>
        <v>0</v>
      </c>
      <c r="K72" s="316">
        <f t="shared" si="42"/>
        <v>0</v>
      </c>
      <c r="L72" s="316">
        <f t="shared" si="42"/>
        <v>0</v>
      </c>
      <c r="M72" s="20">
        <f t="shared" si="42"/>
        <v>0</v>
      </c>
      <c r="N72" s="316">
        <f>SUM(N65:N71)</f>
        <v>7156.44</v>
      </c>
      <c r="O72" s="20">
        <f>SUM(O65:O71)</f>
        <v>99000</v>
      </c>
      <c r="P72" s="20">
        <f>SUM(P65:P71)</f>
        <v>0</v>
      </c>
      <c r="Q72" s="27" t="s">
        <v>75</v>
      </c>
      <c r="R72" s="317">
        <f>SUM(R65:R71)</f>
        <v>0</v>
      </c>
      <c r="S72" s="316">
        <f t="shared" ref="S72:AC72" si="43">SUM(S65:S71)</f>
        <v>2334.92</v>
      </c>
      <c r="T72" s="316">
        <f t="shared" si="43"/>
        <v>730.42000000000007</v>
      </c>
      <c r="U72" s="316">
        <f t="shared" si="43"/>
        <v>2504.2399999999998</v>
      </c>
      <c r="V72" s="316">
        <f t="shared" si="43"/>
        <v>2058.17</v>
      </c>
      <c r="W72" s="316">
        <f t="shared" si="43"/>
        <v>0</v>
      </c>
      <c r="X72" s="316">
        <f t="shared" si="43"/>
        <v>76.09</v>
      </c>
      <c r="Y72" s="316">
        <f t="shared" si="43"/>
        <v>978.68000000000006</v>
      </c>
      <c r="Z72" s="316">
        <f t="shared" si="43"/>
        <v>0</v>
      </c>
      <c r="AA72" s="316">
        <f t="shared" si="43"/>
        <v>0</v>
      </c>
      <c r="AB72" s="316">
        <f t="shared" si="43"/>
        <v>2265.27</v>
      </c>
      <c r="AC72" s="316">
        <f t="shared" si="43"/>
        <v>0</v>
      </c>
      <c r="AD72" s="316">
        <f>SUM(AD65:AD71)</f>
        <v>10947.789999999997</v>
      </c>
      <c r="AE72" s="318">
        <f>SUM(AE65:AE71)</f>
        <v>10000</v>
      </c>
      <c r="AF72" s="318"/>
      <c r="AG72" s="145">
        <f>AE72-AD72</f>
        <v>-947.78999999999724</v>
      </c>
      <c r="AH72" s="26">
        <f t="shared" si="41"/>
        <v>-10947.789999999997</v>
      </c>
      <c r="AI72" s="128">
        <f t="shared" si="30"/>
        <v>-11.550860422667499</v>
      </c>
      <c r="AJ72" s="27"/>
      <c r="AK72" s="20">
        <f>SUM(AK65:AK71)</f>
        <v>0</v>
      </c>
      <c r="AL72" s="20">
        <f t="shared" ref="AL72:AV72" si="44">SUM(AL65:AL71)</f>
        <v>0</v>
      </c>
      <c r="AM72" s="20">
        <f t="shared" si="44"/>
        <v>0</v>
      </c>
      <c r="AN72" s="20">
        <f t="shared" si="44"/>
        <v>0</v>
      </c>
      <c r="AO72" s="20">
        <f t="shared" si="44"/>
        <v>0</v>
      </c>
      <c r="AP72" s="20">
        <f t="shared" si="44"/>
        <v>0</v>
      </c>
      <c r="AQ72" s="20">
        <f t="shared" si="44"/>
        <v>0</v>
      </c>
      <c r="AR72" s="20">
        <f t="shared" si="44"/>
        <v>0</v>
      </c>
      <c r="AS72" s="20">
        <f t="shared" si="44"/>
        <v>0</v>
      </c>
      <c r="AT72" s="20">
        <f t="shared" si="44"/>
        <v>0</v>
      </c>
      <c r="AU72" s="20">
        <f t="shared" si="44"/>
        <v>0</v>
      </c>
      <c r="AV72" s="20">
        <f t="shared" si="44"/>
        <v>0</v>
      </c>
      <c r="AW72" s="316">
        <f>SUM(AW65:AW71)</f>
        <v>0</v>
      </c>
      <c r="AX72" s="163">
        <f t="shared" si="7"/>
        <v>10947.789999999997</v>
      </c>
      <c r="AY72" s="27" t="s">
        <v>427</v>
      </c>
    </row>
    <row r="73" spans="1:51" ht="6" customHeight="1">
      <c r="A73" s="1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13"/>
      <c r="N73" s="319"/>
      <c r="O73" s="13"/>
      <c r="P73" s="292"/>
      <c r="Q73" s="27"/>
      <c r="R73" s="320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21"/>
      <c r="AF73" s="321"/>
      <c r="AG73" s="319"/>
      <c r="AH73" s="321"/>
      <c r="AI73" s="128"/>
      <c r="AJ73" s="27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319"/>
      <c r="AX73" s="146"/>
    </row>
    <row r="74" spans="1:51">
      <c r="A74" s="1" t="s">
        <v>172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0"/>
      <c r="N74" s="291"/>
      <c r="O74" s="290"/>
      <c r="P74" s="292"/>
      <c r="Q74" s="290"/>
      <c r="R74" s="332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4"/>
      <c r="AF74" s="294"/>
      <c r="AG74" s="291"/>
      <c r="AH74" s="294"/>
      <c r="AI74" s="128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66"/>
      <c r="AX74" s="146">
        <f t="shared" si="7"/>
        <v>0</v>
      </c>
      <c r="AY74" s="130"/>
    </row>
    <row r="75" spans="1:51">
      <c r="A75" s="4" t="s">
        <v>173</v>
      </c>
      <c r="B75" s="146">
        <v>0</v>
      </c>
      <c r="C75" s="146">
        <v>0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2">
        <v>0</v>
      </c>
      <c r="N75" s="146">
        <f>SUM(B75:M75)</f>
        <v>0</v>
      </c>
      <c r="O75" s="12">
        <v>200</v>
      </c>
      <c r="P75" s="311">
        <f>O75-N75</f>
        <v>200</v>
      </c>
      <c r="Q75" s="290"/>
      <c r="R75" s="335">
        <v>0</v>
      </c>
      <c r="S75" s="146">
        <v>0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6">
        <v>0</v>
      </c>
      <c r="AC75" s="146">
        <v>0</v>
      </c>
      <c r="AD75" s="146">
        <f>SUM(Q75:AC75)</f>
        <v>0</v>
      </c>
      <c r="AE75" s="26">
        <v>0</v>
      </c>
      <c r="AF75" s="26"/>
      <c r="AG75" s="146">
        <f>AE75-AD75</f>
        <v>0</v>
      </c>
      <c r="AH75" s="146">
        <f t="shared" ref="AH75:AW75" si="45">AF75-AE75</f>
        <v>0</v>
      </c>
      <c r="AI75" s="146">
        <f t="shared" si="45"/>
        <v>0</v>
      </c>
      <c r="AJ75" s="146">
        <f t="shared" si="45"/>
        <v>0</v>
      </c>
      <c r="AK75" s="146">
        <f t="shared" si="45"/>
        <v>0</v>
      </c>
      <c r="AL75" s="146">
        <f t="shared" si="45"/>
        <v>0</v>
      </c>
      <c r="AM75" s="146">
        <f t="shared" si="45"/>
        <v>0</v>
      </c>
      <c r="AN75" s="146">
        <f t="shared" si="45"/>
        <v>0</v>
      </c>
      <c r="AO75" s="146">
        <f t="shared" si="45"/>
        <v>0</v>
      </c>
      <c r="AP75" s="146">
        <f t="shared" si="45"/>
        <v>0</v>
      </c>
      <c r="AQ75" s="146">
        <f t="shared" si="45"/>
        <v>0</v>
      </c>
      <c r="AR75" s="146">
        <f t="shared" si="45"/>
        <v>0</v>
      </c>
      <c r="AS75" s="146">
        <f t="shared" si="45"/>
        <v>0</v>
      </c>
      <c r="AT75" s="146">
        <f t="shared" si="45"/>
        <v>0</v>
      </c>
      <c r="AU75" s="146">
        <f t="shared" si="45"/>
        <v>0</v>
      </c>
      <c r="AV75" s="146">
        <f t="shared" si="45"/>
        <v>0</v>
      </c>
      <c r="AW75" s="146">
        <f t="shared" si="45"/>
        <v>0</v>
      </c>
      <c r="AX75" s="146">
        <f t="shared" si="7"/>
        <v>0</v>
      </c>
      <c r="AY75" s="130"/>
    </row>
    <row r="76" spans="1:51" s="92" customFormat="1">
      <c r="A76" s="4" t="s">
        <v>174</v>
      </c>
      <c r="B76" s="146">
        <f>0</f>
        <v>0</v>
      </c>
      <c r="C76" s="146">
        <v>799.59</v>
      </c>
      <c r="D76" s="146">
        <v>6840.54</v>
      </c>
      <c r="E76" s="146">
        <f>0</f>
        <v>0</v>
      </c>
      <c r="F76" s="146">
        <f>0</f>
        <v>0</v>
      </c>
      <c r="G76" s="146">
        <f>0</f>
        <v>0</v>
      </c>
      <c r="H76" s="146">
        <f>0</f>
        <v>0</v>
      </c>
      <c r="I76" s="146">
        <f>0</f>
        <v>0</v>
      </c>
      <c r="J76" s="146">
        <v>0</v>
      </c>
      <c r="K76" s="146">
        <v>0</v>
      </c>
      <c r="L76" s="146">
        <f>0</f>
        <v>0</v>
      </c>
      <c r="M76" s="12">
        <f>0</f>
        <v>0</v>
      </c>
      <c r="N76" s="146">
        <f>SUM(B76:M76)</f>
        <v>7640.13</v>
      </c>
      <c r="O76" s="12">
        <v>12000</v>
      </c>
      <c r="P76" s="311">
        <f>O76-N76</f>
        <v>4359.87</v>
      </c>
      <c r="Q76" s="27" t="s">
        <v>79</v>
      </c>
      <c r="R76" s="335"/>
      <c r="S76" s="146">
        <f>0</f>
        <v>0</v>
      </c>
      <c r="T76" s="146">
        <v>0</v>
      </c>
      <c r="U76" s="146">
        <f>0</f>
        <v>0</v>
      </c>
      <c r="V76" s="146">
        <f>0</f>
        <v>0</v>
      </c>
      <c r="W76" s="146">
        <v>0</v>
      </c>
      <c r="X76" s="146">
        <f>0</f>
        <v>0</v>
      </c>
      <c r="Y76" s="146">
        <f>0</f>
        <v>0</v>
      </c>
      <c r="Z76" s="146">
        <v>0</v>
      </c>
      <c r="AA76" s="146">
        <v>0</v>
      </c>
      <c r="AB76" s="146">
        <f>0</f>
        <v>0</v>
      </c>
      <c r="AC76" s="146">
        <f>0</f>
        <v>0</v>
      </c>
      <c r="AD76" s="146">
        <f>SUM(Q76:AC76)</f>
        <v>0</v>
      </c>
      <c r="AE76" s="26">
        <v>1000</v>
      </c>
      <c r="AF76" s="26"/>
      <c r="AG76" s="146">
        <f>AE76-AD76</f>
        <v>1000</v>
      </c>
      <c r="AH76" s="138">
        <f>-(AE76-AG76)</f>
        <v>0</v>
      </c>
      <c r="AI76" s="129">
        <f t="shared" si="30"/>
        <v>0</v>
      </c>
      <c r="AJ76" s="137" t="s">
        <v>451</v>
      </c>
      <c r="AK76" s="26">
        <f>0</f>
        <v>0</v>
      </c>
      <c r="AL76" s="26">
        <f>0</f>
        <v>0</v>
      </c>
      <c r="AM76" s="26">
        <f>0</f>
        <v>0</v>
      </c>
      <c r="AN76" s="26">
        <f>0</f>
        <v>0</v>
      </c>
      <c r="AO76" s="26">
        <f>0</f>
        <v>0</v>
      </c>
      <c r="AP76" s="26">
        <f>0</f>
        <v>0</v>
      </c>
      <c r="AQ76" s="26">
        <f>0</f>
        <v>0</v>
      </c>
      <c r="AR76" s="26">
        <f>0</f>
        <v>0</v>
      </c>
      <c r="AS76" s="26">
        <f>0</f>
        <v>0</v>
      </c>
      <c r="AT76" s="26">
        <v>0</v>
      </c>
      <c r="AU76" s="26">
        <f>0</f>
        <v>0</v>
      </c>
      <c r="AV76" s="26">
        <f>0</f>
        <v>0</v>
      </c>
      <c r="AW76" s="146">
        <f>SUM(AK76:AV76)</f>
        <v>0</v>
      </c>
      <c r="AX76" s="146">
        <f t="shared" si="7"/>
        <v>0</v>
      </c>
      <c r="AY76" s="130"/>
    </row>
    <row r="77" spans="1:51">
      <c r="A77" s="69" t="s">
        <v>175</v>
      </c>
      <c r="B77" s="316">
        <f>SUM(B75:B76)</f>
        <v>0</v>
      </c>
      <c r="C77" s="316">
        <f t="shared" ref="C77:N77" si="46">SUM(C75:C76)</f>
        <v>799.59</v>
      </c>
      <c r="D77" s="316">
        <f t="shared" si="46"/>
        <v>6840.54</v>
      </c>
      <c r="E77" s="316">
        <f t="shared" si="46"/>
        <v>0</v>
      </c>
      <c r="F77" s="316">
        <f t="shared" si="46"/>
        <v>0</v>
      </c>
      <c r="G77" s="316">
        <f t="shared" si="46"/>
        <v>0</v>
      </c>
      <c r="H77" s="316">
        <f t="shared" si="46"/>
        <v>0</v>
      </c>
      <c r="I77" s="316">
        <f t="shared" si="46"/>
        <v>0</v>
      </c>
      <c r="J77" s="316">
        <f t="shared" si="46"/>
        <v>0</v>
      </c>
      <c r="K77" s="316">
        <f t="shared" si="46"/>
        <v>0</v>
      </c>
      <c r="L77" s="316">
        <f t="shared" si="46"/>
        <v>0</v>
      </c>
      <c r="M77" s="20">
        <f t="shared" si="46"/>
        <v>0</v>
      </c>
      <c r="N77" s="316">
        <f t="shared" si="46"/>
        <v>7640.13</v>
      </c>
      <c r="O77" s="20">
        <f>SUM(O75:O76)</f>
        <v>12200</v>
      </c>
      <c r="P77" s="20">
        <f>SUM(P75:P76)</f>
        <v>4559.87</v>
      </c>
      <c r="Q77" s="290"/>
      <c r="R77" s="317">
        <f>SUM(R75:R76)</f>
        <v>0</v>
      </c>
      <c r="S77" s="316">
        <f t="shared" ref="S77:AD77" si="47">SUM(S75:S76)</f>
        <v>0</v>
      </c>
      <c r="T77" s="316">
        <f t="shared" si="47"/>
        <v>0</v>
      </c>
      <c r="U77" s="316">
        <f t="shared" si="47"/>
        <v>0</v>
      </c>
      <c r="V77" s="316">
        <f t="shared" si="47"/>
        <v>0</v>
      </c>
      <c r="W77" s="316">
        <f t="shared" si="47"/>
        <v>0</v>
      </c>
      <c r="X77" s="316">
        <f t="shared" si="47"/>
        <v>0</v>
      </c>
      <c r="Y77" s="316">
        <f t="shared" si="47"/>
        <v>0</v>
      </c>
      <c r="Z77" s="316">
        <f t="shared" si="47"/>
        <v>0</v>
      </c>
      <c r="AA77" s="316">
        <f t="shared" si="47"/>
        <v>0</v>
      </c>
      <c r="AB77" s="316">
        <f t="shared" si="47"/>
        <v>0</v>
      </c>
      <c r="AC77" s="316">
        <f t="shared" si="47"/>
        <v>0</v>
      </c>
      <c r="AD77" s="316">
        <f t="shared" si="47"/>
        <v>0</v>
      </c>
      <c r="AE77" s="318">
        <f>SUM(AE75:AE76)</f>
        <v>1000</v>
      </c>
      <c r="AF77" s="318"/>
      <c r="AG77" s="145">
        <f>AE77-AD77</f>
        <v>1000</v>
      </c>
      <c r="AH77" s="26">
        <f>-(AE77-AG77)</f>
        <v>0</v>
      </c>
      <c r="AI77" s="128">
        <f t="shared" si="30"/>
        <v>0</v>
      </c>
      <c r="AJ77" s="130"/>
      <c r="AK77" s="26">
        <f>SUM(AK75:AK76)</f>
        <v>0</v>
      </c>
      <c r="AL77" s="26">
        <f t="shared" ref="AL77:AW77" si="48">SUM(AL75:AL76)</f>
        <v>0</v>
      </c>
      <c r="AM77" s="26">
        <f t="shared" si="48"/>
        <v>0</v>
      </c>
      <c r="AN77" s="26">
        <f t="shared" si="48"/>
        <v>0</v>
      </c>
      <c r="AO77" s="26">
        <f t="shared" si="48"/>
        <v>0</v>
      </c>
      <c r="AP77" s="26">
        <f t="shared" si="48"/>
        <v>0</v>
      </c>
      <c r="AQ77" s="26">
        <f t="shared" si="48"/>
        <v>0</v>
      </c>
      <c r="AR77" s="26">
        <f t="shared" si="48"/>
        <v>0</v>
      </c>
      <c r="AS77" s="26">
        <f t="shared" si="48"/>
        <v>0</v>
      </c>
      <c r="AT77" s="26">
        <f t="shared" si="48"/>
        <v>0</v>
      </c>
      <c r="AU77" s="26">
        <f t="shared" si="48"/>
        <v>0</v>
      </c>
      <c r="AV77" s="26">
        <f t="shared" si="48"/>
        <v>0</v>
      </c>
      <c r="AW77" s="146">
        <f t="shared" si="48"/>
        <v>0</v>
      </c>
      <c r="AX77" s="146">
        <f t="shared" si="7"/>
        <v>0</v>
      </c>
      <c r="AY77" s="130"/>
    </row>
    <row r="78" spans="1:51" ht="6" customHeight="1">
      <c r="A78" s="1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13"/>
      <c r="N78" s="319"/>
      <c r="O78" s="13"/>
      <c r="P78" s="292"/>
      <c r="Q78" s="27"/>
      <c r="R78" s="320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21"/>
      <c r="AF78" s="321"/>
      <c r="AG78" s="319"/>
      <c r="AH78" s="321"/>
      <c r="AI78" s="128"/>
      <c r="AJ78" s="130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146"/>
      <c r="AX78" s="146"/>
      <c r="AY78" s="130"/>
    </row>
    <row r="79" spans="1:51">
      <c r="A79" s="70" t="s">
        <v>176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71"/>
      <c r="N79" s="146"/>
      <c r="O79" s="12"/>
      <c r="P79" s="292"/>
      <c r="Q79" s="27" t="s">
        <v>82</v>
      </c>
      <c r="R79" s="312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26"/>
      <c r="AF79" s="26"/>
      <c r="AG79" s="146"/>
      <c r="AH79" s="26"/>
      <c r="AI79" s="128"/>
      <c r="AJ79" s="130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146"/>
      <c r="AX79" s="146">
        <f t="shared" si="7"/>
        <v>0</v>
      </c>
      <c r="AY79" s="130"/>
    </row>
    <row r="80" spans="1:51" s="92" customFormat="1">
      <c r="A80" s="72" t="s">
        <v>177</v>
      </c>
      <c r="B80" s="146">
        <v>0</v>
      </c>
      <c r="C80" s="146">
        <v>1988</v>
      </c>
      <c r="D80" s="146">
        <v>0</v>
      </c>
      <c r="E80" s="146">
        <v>0</v>
      </c>
      <c r="F80" s="146">
        <v>1988</v>
      </c>
      <c r="G80" s="146">
        <v>0</v>
      </c>
      <c r="H80" s="146">
        <v>0</v>
      </c>
      <c r="I80" s="146">
        <v>0</v>
      </c>
      <c r="J80" s="146">
        <v>0</v>
      </c>
      <c r="K80" s="146">
        <v>1988</v>
      </c>
      <c r="L80" s="146">
        <f>'StartNew Revenue &amp; Costs'!L9+'StartNew Revenue &amp; Costs'!L10</f>
        <v>0</v>
      </c>
      <c r="M80" s="71">
        <v>3188</v>
      </c>
      <c r="N80" s="146">
        <f>SUM(B80:M80)</f>
        <v>9152</v>
      </c>
      <c r="O80" s="12">
        <v>10300</v>
      </c>
      <c r="P80" s="311">
        <f t="shared" ref="P80:P88" si="49">O80-N80</f>
        <v>1148</v>
      </c>
      <c r="Q80" s="290"/>
      <c r="R80" s="312">
        <v>0</v>
      </c>
      <c r="S80" s="146">
        <v>0</v>
      </c>
      <c r="T80" s="146">
        <v>1988</v>
      </c>
      <c r="U80" s="146">
        <v>1988</v>
      </c>
      <c r="V80" s="146"/>
      <c r="W80" s="146">
        <v>0</v>
      </c>
      <c r="X80" s="146">
        <v>0</v>
      </c>
      <c r="Y80" s="146" t="s">
        <v>452</v>
      </c>
      <c r="Z80" s="146">
        <v>1988</v>
      </c>
      <c r="AA80" s="146">
        <v>0</v>
      </c>
      <c r="AB80" s="146">
        <v>2250</v>
      </c>
      <c r="AC80" s="146">
        <f>'StartNew Revenue &amp; Costs'!AA9+'StartNew Revenue &amp; Costs'!AA10</f>
        <v>0</v>
      </c>
      <c r="AD80" s="146">
        <f>SUM(Q80:AC80)</f>
        <v>8214</v>
      </c>
      <c r="AE80" s="26">
        <v>16240</v>
      </c>
      <c r="AF80" s="26"/>
      <c r="AG80" s="146">
        <f>AE80-AD80</f>
        <v>8026</v>
      </c>
      <c r="AH80" s="26">
        <f>-(AE80-AG80)</f>
        <v>-8214</v>
      </c>
      <c r="AI80" s="128">
        <f t="shared" si="30"/>
        <v>1.0234238724146523</v>
      </c>
      <c r="AJ80" s="130"/>
      <c r="AK80" s="71">
        <f>'StartNew Revenue &amp; Costs'!Q9+'StartNew Revenue &amp; Costs'!Q10</f>
        <v>800</v>
      </c>
      <c r="AL80" s="71">
        <f>'StartNew Revenue &amp; Costs'!R9+'StartNew Revenue &amp; Costs'!R10</f>
        <v>250</v>
      </c>
      <c r="AM80" s="71">
        <f>'StartNew Revenue &amp; Costs'!S9+'StartNew Revenue &amp; Costs'!S10</f>
        <v>750</v>
      </c>
      <c r="AN80" s="71">
        <f>'StartNew Revenue &amp; Costs'!T9+'StartNew Revenue &amp; Costs'!T10</f>
        <v>0</v>
      </c>
      <c r="AO80" s="71">
        <f>'StartNew Revenue &amp; Costs'!U9+'StartNew Revenue &amp; Costs'!U10</f>
        <v>1000</v>
      </c>
      <c r="AP80" s="71">
        <f>'StartNew Revenue &amp; Costs'!V9+'StartNew Revenue &amp; Costs'!V10</f>
        <v>0</v>
      </c>
      <c r="AQ80" s="71">
        <f>'StartNew Revenue &amp; Costs'!W9+'StartNew Revenue &amp; Costs'!W10</f>
        <v>2000</v>
      </c>
      <c r="AR80" s="71">
        <f>'StartNew Revenue &amp; Costs'!X9+'StartNew Revenue &amp; Costs'!X10</f>
        <v>0</v>
      </c>
      <c r="AS80" s="71">
        <f>'StartNew Revenue &amp; Costs'!Y9+'StartNew Revenue &amp; Costs'!Y10</f>
        <v>1200</v>
      </c>
      <c r="AT80" s="71">
        <f>'StartNew Revenue &amp; Costs'!Z9+'StartNew Revenue &amp; Costs'!Z10</f>
        <v>1200</v>
      </c>
      <c r="AU80" s="71">
        <f>'StartNew Revenue &amp; Costs'!AA9+'StartNew Revenue &amp; Costs'!AA10</f>
        <v>0</v>
      </c>
      <c r="AV80" s="71">
        <f>'StartNew Revenue &amp; Costs'!AB9+'StartNew Revenue &amp; Costs'!AB10</f>
        <v>0</v>
      </c>
      <c r="AW80" s="146">
        <f>SUM(AK80:AV80)</f>
        <v>7200</v>
      </c>
      <c r="AX80" s="146">
        <f t="shared" si="7"/>
        <v>8214</v>
      </c>
      <c r="AY80" s="130"/>
    </row>
    <row r="81" spans="1:51">
      <c r="A81" s="72" t="s">
        <v>453</v>
      </c>
      <c r="B81" s="146">
        <v>2100</v>
      </c>
      <c r="C81" s="146">
        <v>2100</v>
      </c>
      <c r="D81" s="146">
        <v>3400</v>
      </c>
      <c r="E81" s="146">
        <v>2350</v>
      </c>
      <c r="F81" s="146">
        <v>2350</v>
      </c>
      <c r="G81" s="146">
        <v>1850</v>
      </c>
      <c r="H81" s="146">
        <v>2650</v>
      </c>
      <c r="I81" s="146">
        <v>2550</v>
      </c>
      <c r="J81" s="146">
        <v>2250</v>
      </c>
      <c r="K81" s="146">
        <v>2400</v>
      </c>
      <c r="L81" s="146">
        <v>2650</v>
      </c>
      <c r="M81" s="314">
        <v>2500</v>
      </c>
      <c r="N81" s="146">
        <f>SUM(B81:M81)</f>
        <v>29150</v>
      </c>
      <c r="O81" s="12">
        <v>46850</v>
      </c>
      <c r="P81" s="311">
        <f t="shared" si="49"/>
        <v>17700</v>
      </c>
      <c r="Q81" s="290"/>
      <c r="R81" s="312">
        <v>2850</v>
      </c>
      <c r="S81" s="146">
        <v>3200</v>
      </c>
      <c r="T81" s="146">
        <v>3050</v>
      </c>
      <c r="U81" s="146">
        <v>3200</v>
      </c>
      <c r="V81" s="146">
        <v>3200</v>
      </c>
      <c r="W81" s="146">
        <v>3300</v>
      </c>
      <c r="X81" s="146">
        <v>3100</v>
      </c>
      <c r="Y81" s="146">
        <v>3100</v>
      </c>
      <c r="Z81" s="146">
        <v>3250</v>
      </c>
      <c r="AA81" s="146">
        <v>3325</v>
      </c>
      <c r="AB81" s="146">
        <v>3375</v>
      </c>
      <c r="AC81" s="146">
        <v>3550</v>
      </c>
      <c r="AD81" s="146">
        <f t="shared" ref="AD81:AD88" si="50">SUM(Q81:AC81)</f>
        <v>38500</v>
      </c>
      <c r="AE81" s="26">
        <v>49000</v>
      </c>
      <c r="AF81" s="26"/>
      <c r="AG81" s="146">
        <f t="shared" ref="AG81:AG88" si="51">AE81-AD81</f>
        <v>10500</v>
      </c>
      <c r="AH81" s="26">
        <f t="shared" ref="AH81:AH89" si="52">-(AE81-AG81)</f>
        <v>-38500</v>
      </c>
      <c r="AI81" s="128">
        <f t="shared" si="30"/>
        <v>3.6666666666666665</v>
      </c>
      <c r="AJ81" s="130"/>
      <c r="AK81" s="71">
        <f>'StartNew Revenue &amp; Costs'!Q11+'StartNew Revenue &amp; Costs'!Q18</f>
        <v>4200</v>
      </c>
      <c r="AL81" s="71">
        <f>'StartNew Revenue &amp; Costs'!R11+'StartNew Revenue &amp; Costs'!R18</f>
        <v>3750</v>
      </c>
      <c r="AM81" s="71">
        <f>'StartNew Revenue &amp; Costs'!S11+'StartNew Revenue &amp; Costs'!S18</f>
        <v>3500</v>
      </c>
      <c r="AN81" s="71">
        <f>'StartNew Revenue &amp; Costs'!T11+'StartNew Revenue &amp; Costs'!T18</f>
        <v>3250</v>
      </c>
      <c r="AO81" s="71">
        <f>'StartNew Revenue &amp; Costs'!U11+'StartNew Revenue &amp; Costs'!U18</f>
        <v>3250</v>
      </c>
      <c r="AP81" s="71">
        <f>'StartNew Revenue &amp; Costs'!V11+'StartNew Revenue &amp; Costs'!V18</f>
        <v>3250</v>
      </c>
      <c r="AQ81" s="71">
        <f>'StartNew Revenue &amp; Costs'!W11+'StartNew Revenue &amp; Costs'!W18</f>
        <v>3750</v>
      </c>
      <c r="AR81" s="71">
        <f>'StartNew Revenue &amp; Costs'!X11+'StartNew Revenue &amp; Costs'!X18</f>
        <v>4000</v>
      </c>
      <c r="AS81" s="71">
        <f>'StartNew Revenue &amp; Costs'!Y11+'StartNew Revenue &amp; Costs'!Y18</f>
        <v>4300</v>
      </c>
      <c r="AT81" s="71">
        <f>'StartNew Revenue &amp; Costs'!Z11+'StartNew Revenue &amp; Costs'!Z18</f>
        <v>5050</v>
      </c>
      <c r="AU81" s="71">
        <f>'StartNew Revenue &amp; Costs'!AA11+'StartNew Revenue &amp; Costs'!AA18</f>
        <v>5500</v>
      </c>
      <c r="AV81" s="71">
        <f>'StartNew Revenue &amp; Costs'!AB11+'StartNew Revenue &amp; Costs'!AB18</f>
        <v>4750</v>
      </c>
      <c r="AW81" s="146">
        <f>SUM(AK81:AV81)</f>
        <v>48550</v>
      </c>
      <c r="AX81" s="146">
        <f t="shared" ref="AX81:AX107" si="53">AD81</f>
        <v>38500</v>
      </c>
      <c r="AY81" s="130"/>
    </row>
    <row r="82" spans="1:51" s="92" customFormat="1">
      <c r="A82" s="72" t="s">
        <v>454</v>
      </c>
      <c r="B82" s="146">
        <v>2200</v>
      </c>
      <c r="C82" s="146">
        <v>1000</v>
      </c>
      <c r="D82" s="146">
        <v>1000</v>
      </c>
      <c r="E82" s="146">
        <v>1000</v>
      </c>
      <c r="F82" s="146">
        <v>1000</v>
      </c>
      <c r="G82" s="146">
        <v>1000</v>
      </c>
      <c r="H82" s="146">
        <v>1000</v>
      </c>
      <c r="I82" s="146">
        <v>0</v>
      </c>
      <c r="J82" s="146">
        <f>'StartNew Revenue &amp; Costs'!J19</f>
        <v>0</v>
      </c>
      <c r="K82" s="146">
        <f>'StartNew Revenue &amp; Costs'!K19</f>
        <v>0</v>
      </c>
      <c r="L82" s="146">
        <f>'StartNew Revenue &amp; Costs'!L19</f>
        <v>0</v>
      </c>
      <c r="M82" s="314">
        <v>50</v>
      </c>
      <c r="N82" s="146">
        <f>SUM(B82:M82)</f>
        <v>8250</v>
      </c>
      <c r="O82" s="12">
        <v>8400</v>
      </c>
      <c r="P82" s="311">
        <f t="shared" si="49"/>
        <v>150</v>
      </c>
      <c r="Q82" s="290"/>
      <c r="R82" s="312">
        <v>2075</v>
      </c>
      <c r="S82" s="146">
        <v>2075</v>
      </c>
      <c r="T82" s="146">
        <v>0</v>
      </c>
      <c r="U82" s="146">
        <v>0</v>
      </c>
      <c r="V82" s="146">
        <v>0</v>
      </c>
      <c r="W82" s="146">
        <v>0</v>
      </c>
      <c r="X82" s="146">
        <v>0</v>
      </c>
      <c r="Y82" s="146">
        <v>0</v>
      </c>
      <c r="Z82" s="146">
        <v>0</v>
      </c>
      <c r="AA82" s="146">
        <v>0</v>
      </c>
      <c r="AB82" s="146">
        <v>0</v>
      </c>
      <c r="AC82" s="146">
        <v>0</v>
      </c>
      <c r="AD82" s="146">
        <f t="shared" si="50"/>
        <v>4150</v>
      </c>
      <c r="AE82" s="26">
        <v>4116.33</v>
      </c>
      <c r="AF82" s="26"/>
      <c r="AG82" s="146">
        <f t="shared" si="51"/>
        <v>-33.670000000000073</v>
      </c>
      <c r="AH82" s="26">
        <f t="shared" si="52"/>
        <v>-4150</v>
      </c>
      <c r="AI82" s="128">
        <f t="shared" si="30"/>
        <v>-123.255123255123</v>
      </c>
      <c r="AJ82" s="130"/>
      <c r="AK82" s="71">
        <f>'StartNew Revenue &amp; Costs'!Q19</f>
        <v>0</v>
      </c>
      <c r="AL82" s="71">
        <f>'StartNew Revenue &amp; Costs'!R19</f>
        <v>1333.33</v>
      </c>
      <c r="AM82" s="71">
        <f>'StartNew Revenue &amp; Costs'!S19</f>
        <v>1333.33</v>
      </c>
      <c r="AN82" s="71">
        <f>'StartNew Revenue &amp; Costs'!T19</f>
        <v>1467</v>
      </c>
      <c r="AO82" s="71">
        <f>'StartNew Revenue &amp; Costs'!U19</f>
        <v>0</v>
      </c>
      <c r="AP82" s="71">
        <f>'StartNew Revenue &amp; Costs'!V19</f>
        <v>0</v>
      </c>
      <c r="AQ82" s="71">
        <f>'StartNew Revenue &amp; Costs'!W19</f>
        <v>0</v>
      </c>
      <c r="AR82" s="71">
        <f>'StartNew Revenue &amp; Costs'!X19</f>
        <v>0</v>
      </c>
      <c r="AS82" s="71">
        <f>'StartNew Revenue &amp; Costs'!Y19</f>
        <v>0</v>
      </c>
      <c r="AT82" s="71">
        <f>'StartNew Revenue &amp; Costs'!Z19</f>
        <v>0</v>
      </c>
      <c r="AU82" s="71">
        <f>'StartNew Revenue &amp; Costs'!AA19</f>
        <v>0</v>
      </c>
      <c r="AV82" s="71">
        <f>'StartNew Revenue &amp; Costs'!AB19</f>
        <v>0</v>
      </c>
      <c r="AW82" s="146">
        <f>SUM(AK82:AV82)</f>
        <v>4133.66</v>
      </c>
      <c r="AX82" s="146">
        <f t="shared" si="53"/>
        <v>4150</v>
      </c>
      <c r="AY82" s="130"/>
    </row>
    <row r="83" spans="1:51" s="92" customFormat="1">
      <c r="A83" s="72" t="s">
        <v>455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71"/>
      <c r="N83" s="146"/>
      <c r="O83" s="12"/>
      <c r="P83" s="311">
        <f t="shared" si="49"/>
        <v>0</v>
      </c>
      <c r="Q83" s="290"/>
      <c r="R83" s="312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>
        <f t="shared" si="50"/>
        <v>0</v>
      </c>
      <c r="AE83" s="26"/>
      <c r="AF83" s="26"/>
      <c r="AG83" s="146">
        <f t="shared" si="51"/>
        <v>0</v>
      </c>
      <c r="AH83" s="26">
        <f t="shared" si="52"/>
        <v>0</v>
      </c>
      <c r="AI83" s="128"/>
      <c r="AJ83" s="130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146"/>
      <c r="AX83" s="146">
        <f t="shared" si="53"/>
        <v>0</v>
      </c>
      <c r="AY83" s="130"/>
    </row>
    <row r="84" spans="1:51" s="92" customFormat="1">
      <c r="A84" s="72" t="s">
        <v>185</v>
      </c>
      <c r="B84" s="146">
        <f>'StartNew Revenue &amp; Costs'!B13</f>
        <v>0</v>
      </c>
      <c r="C84" s="146">
        <v>0</v>
      </c>
      <c r="D84" s="146">
        <f>'StartNew Revenue &amp; Costs'!D13</f>
        <v>0</v>
      </c>
      <c r="E84" s="146">
        <v>0</v>
      </c>
      <c r="F84" s="146">
        <f>'StartNew Revenue &amp; Costs'!F13</f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f>'StartNew Revenue &amp; Costs'!K13</f>
        <v>0</v>
      </c>
      <c r="L84" s="146">
        <v>1000</v>
      </c>
      <c r="M84" s="71">
        <f>'StartNew Revenue &amp; Costs'!M13</f>
        <v>0</v>
      </c>
      <c r="N84" s="146">
        <f>SUM(B84:M84)</f>
        <v>1000</v>
      </c>
      <c r="O84" s="12">
        <v>2000</v>
      </c>
      <c r="P84" s="311">
        <f t="shared" si="49"/>
        <v>1000</v>
      </c>
      <c r="Q84" s="290"/>
      <c r="R84" s="312">
        <f>'StartNew Revenue &amp; Costs'!Q13+'StartNew Revenue &amp; Costs'!Q21</f>
        <v>0</v>
      </c>
      <c r="S84" s="146">
        <v>2250</v>
      </c>
      <c r="T84" s="146">
        <f>'StartNew Revenue &amp; Costs'!S13+'StartNew Revenue &amp; Costs'!S21</f>
        <v>0</v>
      </c>
      <c r="U84" s="146">
        <v>750</v>
      </c>
      <c r="V84" s="146">
        <v>750</v>
      </c>
      <c r="W84" s="146">
        <f>'StartNew Revenue &amp; Costs'!V13+'StartNew Revenue &amp; Costs'!V21</f>
        <v>0</v>
      </c>
      <c r="X84" s="146">
        <f>'StartNew Revenue &amp; Costs'!W13+'StartNew Revenue &amp; Costs'!W21</f>
        <v>0</v>
      </c>
      <c r="Y84" s="146">
        <v>500</v>
      </c>
      <c r="Z84" s="146">
        <f>'StartNew Revenue &amp; Costs'!Y13+'StartNew Revenue &amp; Costs'!Y21</f>
        <v>0</v>
      </c>
      <c r="AA84" s="146">
        <v>500</v>
      </c>
      <c r="AB84" s="146">
        <v>0</v>
      </c>
      <c r="AC84" s="146">
        <f>'StartNew Revenue &amp; Costs'!AB13+'StartNew Revenue &amp; Costs'!AB21</f>
        <v>0</v>
      </c>
      <c r="AD84" s="146">
        <f t="shared" si="50"/>
        <v>4750</v>
      </c>
      <c r="AE84" s="26">
        <v>8000</v>
      </c>
      <c r="AF84" s="26"/>
      <c r="AG84" s="146">
        <f t="shared" si="51"/>
        <v>3250</v>
      </c>
      <c r="AH84" s="26">
        <f t="shared" si="52"/>
        <v>-4750</v>
      </c>
      <c r="AI84" s="128">
        <f t="shared" si="30"/>
        <v>1.4615384615384615</v>
      </c>
      <c r="AJ84" s="130"/>
      <c r="AK84" s="71">
        <f>'StartNew Revenue &amp; Costs'!Q13+'StartNew Revenue &amp; Costs'!Q21</f>
        <v>0</v>
      </c>
      <c r="AL84" s="71">
        <f>'StartNew Revenue &amp; Costs'!R13+'StartNew Revenue &amp; Costs'!R21</f>
        <v>1250</v>
      </c>
      <c r="AM84" s="71">
        <f>'StartNew Revenue &amp; Costs'!S13+'StartNew Revenue &amp; Costs'!S21</f>
        <v>0</v>
      </c>
      <c r="AN84" s="71">
        <f>'StartNew Revenue &amp; Costs'!T13+'StartNew Revenue &amp; Costs'!T21</f>
        <v>0</v>
      </c>
      <c r="AO84" s="71">
        <f>'StartNew Revenue &amp; Costs'!U13+'StartNew Revenue &amp; Costs'!U21</f>
        <v>250</v>
      </c>
      <c r="AP84" s="71">
        <f>'StartNew Revenue &amp; Costs'!V13+'StartNew Revenue &amp; Costs'!V21</f>
        <v>0</v>
      </c>
      <c r="AQ84" s="71">
        <f>'StartNew Revenue &amp; Costs'!W13+'StartNew Revenue &amp; Costs'!W21</f>
        <v>0</v>
      </c>
      <c r="AR84" s="71">
        <f>'StartNew Revenue &amp; Costs'!X13+'StartNew Revenue &amp; Costs'!X21</f>
        <v>1000</v>
      </c>
      <c r="AS84" s="71">
        <f>'StartNew Revenue &amp; Costs'!Y13+'StartNew Revenue &amp; Costs'!Y21</f>
        <v>0</v>
      </c>
      <c r="AT84" s="71">
        <f>'StartNew Revenue &amp; Costs'!Z13+'StartNew Revenue &amp; Costs'!Z21</f>
        <v>0</v>
      </c>
      <c r="AU84" s="71">
        <f>'StartNew Revenue &amp; Costs'!AA13+'StartNew Revenue &amp; Costs'!AA21</f>
        <v>500</v>
      </c>
      <c r="AV84" s="71">
        <f>'StartNew Revenue &amp; Costs'!AB13+'StartNew Revenue &amp; Costs'!AB21</f>
        <v>0</v>
      </c>
      <c r="AW84" s="146">
        <f>SUM(AK84:AV84)</f>
        <v>3000</v>
      </c>
      <c r="AX84" s="146">
        <f t="shared" si="53"/>
        <v>4750</v>
      </c>
      <c r="AY84" s="130"/>
    </row>
    <row r="85" spans="1:51">
      <c r="A85" s="72" t="s">
        <v>456</v>
      </c>
      <c r="B85" s="146">
        <v>0</v>
      </c>
      <c r="C85" s="146">
        <v>0</v>
      </c>
      <c r="D85" s="146">
        <v>2500</v>
      </c>
      <c r="E85" s="146">
        <v>0</v>
      </c>
      <c r="F85" s="146">
        <v>2500</v>
      </c>
      <c r="G85" s="146">
        <v>0</v>
      </c>
      <c r="H85" s="146">
        <v>2500</v>
      </c>
      <c r="I85" s="146">
        <v>0</v>
      </c>
      <c r="J85" s="146" t="e">
        <f>'StartNew Revenue &amp; Costs'!#REF!</f>
        <v>#REF!</v>
      </c>
      <c r="K85" s="146">
        <v>2500</v>
      </c>
      <c r="L85" s="146">
        <v>0</v>
      </c>
      <c r="M85" s="71">
        <v>1300</v>
      </c>
      <c r="N85" s="146" t="e">
        <f>SUM(B85:M85)</f>
        <v>#REF!</v>
      </c>
      <c r="O85" s="12">
        <v>10000</v>
      </c>
      <c r="P85" s="311" t="e">
        <f t="shared" si="49"/>
        <v>#REF!</v>
      </c>
      <c r="Q85" s="290"/>
      <c r="R85" s="312">
        <v>0</v>
      </c>
      <c r="S85" s="146">
        <v>0</v>
      </c>
      <c r="T85" s="146">
        <v>0</v>
      </c>
      <c r="U85" s="146">
        <v>0</v>
      </c>
      <c r="V85" s="146">
        <v>0</v>
      </c>
      <c r="W85" s="146">
        <v>0</v>
      </c>
      <c r="X85" s="146">
        <v>0</v>
      </c>
      <c r="Y85" s="146">
        <v>0</v>
      </c>
      <c r="Z85" s="146">
        <v>0</v>
      </c>
      <c r="AA85" s="146">
        <v>0</v>
      </c>
      <c r="AB85" s="146">
        <v>0</v>
      </c>
      <c r="AC85" s="146">
        <v>0</v>
      </c>
      <c r="AD85" s="146">
        <v>0</v>
      </c>
      <c r="AE85" s="26">
        <v>0</v>
      </c>
      <c r="AF85" s="26"/>
      <c r="AG85" s="146">
        <f t="shared" si="51"/>
        <v>0</v>
      </c>
      <c r="AH85" s="26">
        <f t="shared" si="52"/>
        <v>0</v>
      </c>
      <c r="AI85" s="128" t="e">
        <f t="shared" si="30"/>
        <v>#DIV/0!</v>
      </c>
      <c r="AJ85" s="130"/>
      <c r="AK85" s="71">
        <v>0</v>
      </c>
      <c r="AL85" s="71">
        <v>0</v>
      </c>
      <c r="AM85" s="71">
        <v>0</v>
      </c>
      <c r="AN85" s="71">
        <v>0</v>
      </c>
      <c r="AO85" s="71">
        <v>0</v>
      </c>
      <c r="AP85" s="71">
        <v>0</v>
      </c>
      <c r="AQ85" s="71">
        <v>0</v>
      </c>
      <c r="AR85" s="71">
        <v>0</v>
      </c>
      <c r="AS85" s="71">
        <v>0</v>
      </c>
      <c r="AT85" s="71">
        <v>0</v>
      </c>
      <c r="AU85" s="71">
        <v>0</v>
      </c>
      <c r="AV85" s="71">
        <v>0</v>
      </c>
      <c r="AW85" s="146">
        <f>SUM(AK85:AV85)</f>
        <v>0</v>
      </c>
      <c r="AX85" s="146">
        <f t="shared" si="53"/>
        <v>0</v>
      </c>
      <c r="AY85" s="130"/>
    </row>
    <row r="86" spans="1:51">
      <c r="A86" s="72" t="s">
        <v>187</v>
      </c>
      <c r="B86" s="146">
        <f>'StartNew Revenue &amp; Costs'!B14+'StartNew Revenue &amp; Costs'!B15</f>
        <v>0</v>
      </c>
      <c r="C86" s="146">
        <v>2287.8200000000002</v>
      </c>
      <c r="D86" s="146">
        <v>2773.68</v>
      </c>
      <c r="E86" s="146">
        <v>0</v>
      </c>
      <c r="F86" s="146">
        <v>1047.5999999999999</v>
      </c>
      <c r="G86" s="146">
        <v>0</v>
      </c>
      <c r="H86" s="146">
        <v>0</v>
      </c>
      <c r="I86" s="146">
        <v>1303.44</v>
      </c>
      <c r="J86" s="146">
        <v>1223.4000000000001</v>
      </c>
      <c r="K86" s="146">
        <v>964.28</v>
      </c>
      <c r="L86" s="146">
        <v>1380.99</v>
      </c>
      <c r="M86" s="71">
        <v>2039.47</v>
      </c>
      <c r="N86" s="146">
        <f>SUM(B86:M86)</f>
        <v>13020.68</v>
      </c>
      <c r="O86" s="12">
        <v>7400</v>
      </c>
      <c r="P86" s="311">
        <f t="shared" si="49"/>
        <v>-5620.68</v>
      </c>
      <c r="Q86" s="27"/>
      <c r="R86" s="312">
        <v>384.05</v>
      </c>
      <c r="S86" s="146">
        <v>3128.47</v>
      </c>
      <c r="T86" s="146">
        <v>741.31</v>
      </c>
      <c r="U86" s="146">
        <v>3812.99</v>
      </c>
      <c r="V86" s="146">
        <v>1640.11</v>
      </c>
      <c r="W86" s="146">
        <v>401.88</v>
      </c>
      <c r="X86" s="146">
        <f>'StartNew Revenue &amp; Costs'!W14+'StartNew Revenue &amp; Costs'!W15</f>
        <v>0</v>
      </c>
      <c r="Y86" s="146">
        <v>1200.81</v>
      </c>
      <c r="Z86" s="146">
        <v>417.96</v>
      </c>
      <c r="AA86" s="146">
        <v>3974.92</v>
      </c>
      <c r="AB86" s="146">
        <v>493.95</v>
      </c>
      <c r="AC86" s="146">
        <v>700</v>
      </c>
      <c r="AD86" s="146">
        <f t="shared" si="50"/>
        <v>16896.449999999997</v>
      </c>
      <c r="AE86" s="26">
        <v>16350</v>
      </c>
      <c r="AF86" s="26"/>
      <c r="AG86" s="146">
        <f t="shared" si="51"/>
        <v>-546.44999999999709</v>
      </c>
      <c r="AH86" s="26">
        <f t="shared" si="52"/>
        <v>-16896.449999999997</v>
      </c>
      <c r="AI86" s="128">
        <f t="shared" si="30"/>
        <v>-30.920395278616684</v>
      </c>
      <c r="AJ86" s="130"/>
      <c r="AK86" s="71">
        <f>'StartNew Revenue &amp; Costs'!Q14+'StartNew Revenue &amp; Costs'!Q15</f>
        <v>0</v>
      </c>
      <c r="AL86" s="71">
        <f>'StartNew Revenue &amp; Costs'!R14+'StartNew Revenue &amp; Costs'!R15</f>
        <v>3500</v>
      </c>
      <c r="AM86" s="71">
        <f>'StartNew Revenue &amp; Costs'!S14+'StartNew Revenue &amp; Costs'!S15</f>
        <v>0</v>
      </c>
      <c r="AN86" s="71">
        <f>'StartNew Revenue &amp; Costs'!T14+'StartNew Revenue &amp; Costs'!T15</f>
        <v>1050</v>
      </c>
      <c r="AO86" s="71">
        <f>'StartNew Revenue &amp; Costs'!U14+'StartNew Revenue &amp; Costs'!U15</f>
        <v>2600</v>
      </c>
      <c r="AP86" s="71">
        <f>'StartNew Revenue &amp; Costs'!V14+'StartNew Revenue &amp; Costs'!V15</f>
        <v>0</v>
      </c>
      <c r="AQ86" s="71">
        <f>'StartNew Revenue &amp; Costs'!W14+'StartNew Revenue &amp; Costs'!W15</f>
        <v>0</v>
      </c>
      <c r="AR86" s="71">
        <f>'StartNew Revenue &amp; Costs'!X14+'StartNew Revenue &amp; Costs'!X15</f>
        <v>2600</v>
      </c>
      <c r="AS86" s="71">
        <f>'StartNew Revenue &amp; Costs'!Y14+'StartNew Revenue &amp; Costs'!Y15</f>
        <v>2200</v>
      </c>
      <c r="AT86" s="71">
        <f>'StartNew Revenue &amp; Costs'!Z14+'StartNew Revenue &amp; Costs'!Z15</f>
        <v>2600</v>
      </c>
      <c r="AU86" s="71">
        <f>'StartNew Revenue &amp; Costs'!AA14+'StartNew Revenue &amp; Costs'!AA15</f>
        <v>0</v>
      </c>
      <c r="AV86" s="71">
        <f>'StartNew Revenue &amp; Costs'!AB14+'StartNew Revenue &amp; Costs'!AB15</f>
        <v>0</v>
      </c>
      <c r="AW86" s="146">
        <f>SUM(AK86:AV86)</f>
        <v>14550</v>
      </c>
      <c r="AX86" s="146">
        <f t="shared" si="53"/>
        <v>16896.449999999997</v>
      </c>
      <c r="AY86" s="130"/>
    </row>
    <row r="87" spans="1:51">
      <c r="A87" s="72" t="s">
        <v>188</v>
      </c>
      <c r="B87" s="146">
        <f>'StartNew Revenue &amp; Costs'!B16+'StartNew Revenue &amp; Costs'!B22</f>
        <v>0</v>
      </c>
      <c r="C87" s="146">
        <v>2402.42</v>
      </c>
      <c r="D87" s="146">
        <v>1941.5</v>
      </c>
      <c r="E87" s="146">
        <v>622.04999999999995</v>
      </c>
      <c r="F87" s="146">
        <f>'StartNew Revenue &amp; Costs'!F16+'StartNew Revenue &amp; Costs'!F22</f>
        <v>0</v>
      </c>
      <c r="G87" s="146">
        <v>12.45</v>
      </c>
      <c r="H87" s="146">
        <v>702.17</v>
      </c>
      <c r="I87" s="146">
        <v>1097.05</v>
      </c>
      <c r="J87" s="146">
        <f>'StartNew Revenue &amp; Costs'!J16+'StartNew Revenue &amp; Costs'!J22</f>
        <v>0</v>
      </c>
      <c r="K87" s="146">
        <v>316.22000000000003</v>
      </c>
      <c r="L87" s="146">
        <v>1226.53</v>
      </c>
      <c r="M87" s="71">
        <f>'StartNew Revenue &amp; Costs'!M16+'StartNew Revenue &amp; Costs'!M22</f>
        <v>0</v>
      </c>
      <c r="N87" s="146">
        <f>SUM(B87:M87)</f>
        <v>8320.3900000000012</v>
      </c>
      <c r="O87" s="12">
        <v>8220</v>
      </c>
      <c r="P87" s="311">
        <f t="shared" si="49"/>
        <v>-100.39000000000124</v>
      </c>
      <c r="Q87" s="27"/>
      <c r="R87" s="312">
        <v>1556.36</v>
      </c>
      <c r="S87" s="146">
        <v>600</v>
      </c>
      <c r="T87" s="146">
        <v>2212.92</v>
      </c>
      <c r="U87" s="146">
        <v>504.82</v>
      </c>
      <c r="V87" s="146">
        <v>968.28</v>
      </c>
      <c r="W87" s="146">
        <v>771.99</v>
      </c>
      <c r="X87" s="146">
        <f>'StartNew Revenue &amp; Costs'!W16+'StartNew Revenue &amp; Costs'!W22</f>
        <v>0</v>
      </c>
      <c r="Y87" s="146">
        <v>1009.37</v>
      </c>
      <c r="Z87" s="146">
        <v>699.32</v>
      </c>
      <c r="AA87" s="146">
        <v>98.62</v>
      </c>
      <c r="AB87" s="146">
        <v>469.69</v>
      </c>
      <c r="AC87" s="146">
        <f>'StartNew Revenue &amp; Costs'!AB16+'StartNew Revenue &amp; Costs'!AB22</f>
        <v>0</v>
      </c>
      <c r="AD87" s="146">
        <f t="shared" si="50"/>
        <v>8891.3700000000008</v>
      </c>
      <c r="AE87" s="26">
        <v>10060</v>
      </c>
      <c r="AF87" s="26"/>
      <c r="AG87" s="146">
        <f t="shared" si="51"/>
        <v>1168.6299999999992</v>
      </c>
      <c r="AH87" s="26">
        <f t="shared" si="52"/>
        <v>-8891.3700000000008</v>
      </c>
      <c r="AI87" s="128">
        <f t="shared" si="30"/>
        <v>7.6083704850979412</v>
      </c>
      <c r="AJ87" s="130"/>
      <c r="AK87" s="71">
        <f>'StartNew Revenue &amp; Costs'!Q16+'StartNew Revenue &amp; Costs'!Q22</f>
        <v>0</v>
      </c>
      <c r="AL87" s="71">
        <f>'StartNew Revenue &amp; Costs'!R16+'StartNew Revenue &amp; Costs'!R22</f>
        <v>600</v>
      </c>
      <c r="AM87" s="71">
        <f>'StartNew Revenue &amp; Costs'!S16+'StartNew Revenue &amp; Costs'!S22</f>
        <v>0</v>
      </c>
      <c r="AN87" s="71">
        <f>'StartNew Revenue &amp; Costs'!T16+'StartNew Revenue &amp; Costs'!T22</f>
        <v>160</v>
      </c>
      <c r="AO87" s="71">
        <f>'StartNew Revenue &amp; Costs'!U16+'StartNew Revenue &amp; Costs'!U22</f>
        <v>160</v>
      </c>
      <c r="AP87" s="71">
        <f>'StartNew Revenue &amp; Costs'!V16+'StartNew Revenue &amp; Costs'!V22</f>
        <v>0</v>
      </c>
      <c r="AQ87" s="71">
        <f>'StartNew Revenue &amp; Costs'!W16+'StartNew Revenue &amp; Costs'!W22</f>
        <v>0</v>
      </c>
      <c r="AR87" s="71">
        <f>'StartNew Revenue &amp; Costs'!X16+'StartNew Revenue &amp; Costs'!X22</f>
        <v>1900</v>
      </c>
      <c r="AS87" s="71">
        <f>'StartNew Revenue &amp; Costs'!Y16+'StartNew Revenue &amp; Costs'!Y22</f>
        <v>0</v>
      </c>
      <c r="AT87" s="71">
        <f>'StartNew Revenue &amp; Costs'!Z16+'StartNew Revenue &amp; Costs'!Z22</f>
        <v>1100</v>
      </c>
      <c r="AU87" s="71">
        <f>'StartNew Revenue &amp; Costs'!AA16+'StartNew Revenue &amp; Costs'!AA22</f>
        <v>1220</v>
      </c>
      <c r="AV87" s="71">
        <f>'StartNew Revenue &amp; Costs'!AB16+'StartNew Revenue &amp; Costs'!AB22</f>
        <v>0</v>
      </c>
      <c r="AW87" s="146">
        <f>SUM(AK87:AV87)</f>
        <v>5140</v>
      </c>
      <c r="AX87" s="146">
        <f t="shared" si="53"/>
        <v>8891.3700000000008</v>
      </c>
      <c r="AY87" s="130"/>
    </row>
    <row r="88" spans="1:51">
      <c r="A88" s="72" t="s">
        <v>189</v>
      </c>
      <c r="B88" s="146">
        <f>'StartNew Revenue &amp; Costs'!B17+'StartNew Revenue &amp; Costs'!B23</f>
        <v>0</v>
      </c>
      <c r="C88" s="146">
        <v>1142.1400000000001</v>
      </c>
      <c r="D88" s="146">
        <f>'StartNew Revenue &amp; Costs'!D17+'StartNew Revenue &amp; Costs'!D23</f>
        <v>0</v>
      </c>
      <c r="E88" s="146">
        <v>706.26</v>
      </c>
      <c r="F88" s="146">
        <f>'StartNew Revenue &amp; Costs'!F17+'StartNew Revenue &amp; Costs'!F23</f>
        <v>0</v>
      </c>
      <c r="G88" s="146">
        <v>0</v>
      </c>
      <c r="H88" s="146">
        <v>0</v>
      </c>
      <c r="I88" s="146">
        <v>1336.56</v>
      </c>
      <c r="J88" s="146">
        <f>'StartNew Revenue &amp; Costs'!J17+'StartNew Revenue &amp; Costs'!J23</f>
        <v>0</v>
      </c>
      <c r="K88" s="146">
        <f>'StartNew Revenue &amp; Costs'!K17+'StartNew Revenue &amp; Costs'!K23</f>
        <v>0</v>
      </c>
      <c r="L88" s="146">
        <v>1966.24</v>
      </c>
      <c r="M88" s="71">
        <f>'StartNew Revenue &amp; Costs'!M17+'StartNew Revenue &amp; Costs'!M23</f>
        <v>0</v>
      </c>
      <c r="N88" s="146">
        <f>SUM(B88:M88)</f>
        <v>5151.2</v>
      </c>
      <c r="O88" s="12">
        <v>5220</v>
      </c>
      <c r="P88" s="311">
        <f t="shared" si="49"/>
        <v>68.800000000000182</v>
      </c>
      <c r="Q88" s="27"/>
      <c r="R88" s="312">
        <v>434.89</v>
      </c>
      <c r="S88" s="146">
        <v>873.87</v>
      </c>
      <c r="T88" s="146">
        <f>'StartNew Revenue &amp; Costs'!S17+'StartNew Revenue &amp; Costs'!S23</f>
        <v>0</v>
      </c>
      <c r="U88" s="146">
        <v>1456.23</v>
      </c>
      <c r="V88" s="146">
        <v>1329.38</v>
      </c>
      <c r="W88" s="146">
        <f>'StartNew Revenue &amp; Costs'!V17+'StartNew Revenue &amp; Costs'!V23</f>
        <v>0</v>
      </c>
      <c r="X88" s="146">
        <f>'StartNew Revenue &amp; Costs'!W17+'StartNew Revenue &amp; Costs'!W23</f>
        <v>0</v>
      </c>
      <c r="Y88" s="146">
        <v>589.24</v>
      </c>
      <c r="Z88" s="146">
        <f>'StartNew Revenue &amp; Costs'!Y17+'StartNew Revenue &amp; Costs'!Y23</f>
        <v>0</v>
      </c>
      <c r="AA88" s="146">
        <v>573.19000000000005</v>
      </c>
      <c r="AB88" s="146">
        <v>641.16999999999996</v>
      </c>
      <c r="AC88" s="146">
        <f>'StartNew Revenue &amp; Costs'!AB17+'StartNew Revenue &amp; Costs'!AB23</f>
        <v>0</v>
      </c>
      <c r="AD88" s="146">
        <f t="shared" si="50"/>
        <v>5897.9699999999993</v>
      </c>
      <c r="AE88" s="26">
        <v>9400</v>
      </c>
      <c r="AF88" s="26"/>
      <c r="AG88" s="146">
        <f t="shared" si="51"/>
        <v>3502.0300000000007</v>
      </c>
      <c r="AH88" s="138">
        <f t="shared" si="52"/>
        <v>-5897.9699999999993</v>
      </c>
      <c r="AI88" s="129">
        <f t="shared" si="30"/>
        <v>1.6841574743791452</v>
      </c>
      <c r="AJ88" s="27"/>
      <c r="AK88" s="71">
        <f>'StartNew Revenue &amp; Costs'!Q17+'StartNew Revenue &amp; Costs'!Q23</f>
        <v>0</v>
      </c>
      <c r="AL88" s="71">
        <f>'StartNew Revenue &amp; Costs'!R17+'StartNew Revenue &amp; Costs'!R23</f>
        <v>1400</v>
      </c>
      <c r="AM88" s="71">
        <f>'StartNew Revenue &amp; Costs'!S17+'StartNew Revenue &amp; Costs'!S23</f>
        <v>0</v>
      </c>
      <c r="AN88" s="71">
        <f>'StartNew Revenue &amp; Costs'!T17+'StartNew Revenue &amp; Costs'!T23</f>
        <v>560</v>
      </c>
      <c r="AO88" s="71">
        <f>'StartNew Revenue &amp; Costs'!U17+'StartNew Revenue &amp; Costs'!U23</f>
        <v>560</v>
      </c>
      <c r="AP88" s="71">
        <f>'StartNew Revenue &amp; Costs'!V17+'StartNew Revenue &amp; Costs'!V23</f>
        <v>0</v>
      </c>
      <c r="AQ88" s="71">
        <f>'StartNew Revenue &amp; Costs'!W17+'StartNew Revenue &amp; Costs'!W23</f>
        <v>0</v>
      </c>
      <c r="AR88" s="71">
        <f>'StartNew Revenue &amp; Costs'!X17+'StartNew Revenue &amp; Costs'!X23</f>
        <v>2300</v>
      </c>
      <c r="AS88" s="71">
        <f>'StartNew Revenue &amp; Costs'!Y17+'StartNew Revenue &amp; Costs'!Y23</f>
        <v>0</v>
      </c>
      <c r="AT88" s="71">
        <f>'StartNew Revenue &amp; Costs'!Z17+'StartNew Revenue &amp; Costs'!Z23</f>
        <v>1700</v>
      </c>
      <c r="AU88" s="71">
        <f>'StartNew Revenue &amp; Costs'!AA17+'StartNew Revenue &amp; Costs'!AA23</f>
        <v>1700</v>
      </c>
      <c r="AV88" s="71">
        <f>'StartNew Revenue &amp; Costs'!AB17+'StartNew Revenue &amp; Costs'!AB23</f>
        <v>0</v>
      </c>
      <c r="AW88" s="146">
        <f>SUM(AK88:AV88)</f>
        <v>8220</v>
      </c>
      <c r="AX88" s="315">
        <f t="shared" si="53"/>
        <v>5897.9699999999993</v>
      </c>
    </row>
    <row r="89" spans="1:51">
      <c r="A89" s="73" t="s">
        <v>92</v>
      </c>
      <c r="B89" s="316">
        <f t="shared" ref="B89:P89" si="54">SUM(B80:B88)</f>
        <v>4300</v>
      </c>
      <c r="C89" s="316">
        <f t="shared" si="54"/>
        <v>10920.38</v>
      </c>
      <c r="D89" s="316">
        <f t="shared" si="54"/>
        <v>11615.18</v>
      </c>
      <c r="E89" s="316">
        <f t="shared" si="54"/>
        <v>4678.3100000000004</v>
      </c>
      <c r="F89" s="316">
        <f t="shared" si="54"/>
        <v>8885.6</v>
      </c>
      <c r="G89" s="316">
        <f t="shared" si="54"/>
        <v>2862.45</v>
      </c>
      <c r="H89" s="316">
        <f t="shared" si="54"/>
        <v>6852.17</v>
      </c>
      <c r="I89" s="316">
        <f t="shared" si="54"/>
        <v>6287.0499999999993</v>
      </c>
      <c r="J89" s="316" t="e">
        <f t="shared" si="54"/>
        <v>#REF!</v>
      </c>
      <c r="K89" s="316">
        <f t="shared" si="54"/>
        <v>8168.5</v>
      </c>
      <c r="L89" s="316">
        <f t="shared" si="54"/>
        <v>8223.76</v>
      </c>
      <c r="M89" s="289">
        <f t="shared" si="54"/>
        <v>9077.4699999999993</v>
      </c>
      <c r="N89" s="316" t="e">
        <f t="shared" si="54"/>
        <v>#REF!</v>
      </c>
      <c r="O89" s="20">
        <f t="shared" si="54"/>
        <v>98390</v>
      </c>
      <c r="P89" s="20" t="e">
        <f t="shared" si="54"/>
        <v>#REF!</v>
      </c>
      <c r="Q89" s="27"/>
      <c r="R89" s="317">
        <f t="shared" ref="R89:AE89" si="55">SUM(R80:R88)</f>
        <v>7300.3</v>
      </c>
      <c r="S89" s="316">
        <f t="shared" si="55"/>
        <v>12127.34</v>
      </c>
      <c r="T89" s="316">
        <f t="shared" si="55"/>
        <v>7992.23</v>
      </c>
      <c r="U89" s="316">
        <f t="shared" si="55"/>
        <v>11712.039999999999</v>
      </c>
      <c r="V89" s="316">
        <f t="shared" si="55"/>
        <v>7887.7699999999995</v>
      </c>
      <c r="W89" s="316">
        <f t="shared" si="55"/>
        <v>4473.87</v>
      </c>
      <c r="X89" s="316">
        <f t="shared" si="55"/>
        <v>3100</v>
      </c>
      <c r="Y89" s="316">
        <f t="shared" si="55"/>
        <v>6399.4199999999992</v>
      </c>
      <c r="Z89" s="316">
        <f t="shared" si="55"/>
        <v>6355.28</v>
      </c>
      <c r="AA89" s="316">
        <f t="shared" si="55"/>
        <v>8471.73</v>
      </c>
      <c r="AB89" s="316">
        <f t="shared" si="55"/>
        <v>7229.8099999999995</v>
      </c>
      <c r="AC89" s="316">
        <f t="shared" si="55"/>
        <v>4250</v>
      </c>
      <c r="AD89" s="316">
        <f t="shared" si="55"/>
        <v>87299.79</v>
      </c>
      <c r="AE89" s="318">
        <f t="shared" si="55"/>
        <v>113166.33</v>
      </c>
      <c r="AF89" s="318"/>
      <c r="AG89" s="145">
        <f>AE89-AD89</f>
        <v>25866.540000000008</v>
      </c>
      <c r="AH89" s="26">
        <f t="shared" si="52"/>
        <v>-87299.79</v>
      </c>
      <c r="AI89" s="128">
        <f t="shared" si="30"/>
        <v>3.375008408546329</v>
      </c>
      <c r="AJ89" s="27"/>
      <c r="AK89" s="289">
        <f t="shared" ref="AK89:AW89" si="56">SUM(AK80:AK88)</f>
        <v>5000</v>
      </c>
      <c r="AL89" s="289">
        <f t="shared" si="56"/>
        <v>12083.33</v>
      </c>
      <c r="AM89" s="289">
        <f t="shared" si="56"/>
        <v>5583.33</v>
      </c>
      <c r="AN89" s="289">
        <f t="shared" si="56"/>
        <v>6487</v>
      </c>
      <c r="AO89" s="289">
        <f t="shared" si="56"/>
        <v>7820</v>
      </c>
      <c r="AP89" s="289">
        <f t="shared" si="56"/>
        <v>3250</v>
      </c>
      <c r="AQ89" s="289">
        <f t="shared" si="56"/>
        <v>5750</v>
      </c>
      <c r="AR89" s="289">
        <f t="shared" si="56"/>
        <v>11800</v>
      </c>
      <c r="AS89" s="289">
        <f t="shared" si="56"/>
        <v>7700</v>
      </c>
      <c r="AT89" s="289">
        <f t="shared" si="56"/>
        <v>11650</v>
      </c>
      <c r="AU89" s="289">
        <f t="shared" si="56"/>
        <v>8920</v>
      </c>
      <c r="AV89" s="289">
        <f t="shared" si="56"/>
        <v>4750</v>
      </c>
      <c r="AW89" s="316">
        <f t="shared" si="56"/>
        <v>90793.66</v>
      </c>
      <c r="AX89" s="163">
        <f t="shared" si="53"/>
        <v>87299.79</v>
      </c>
    </row>
    <row r="90" spans="1:51" ht="6" customHeight="1">
      <c r="A90" s="1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13"/>
      <c r="N90" s="319"/>
      <c r="O90" s="13"/>
      <c r="P90" s="292"/>
      <c r="Q90" s="27"/>
      <c r="R90" s="320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21"/>
      <c r="AF90" s="321"/>
      <c r="AG90" s="319"/>
      <c r="AH90" s="321"/>
      <c r="AI90" s="128"/>
      <c r="AJ90" s="27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319"/>
      <c r="AX90" s="146"/>
    </row>
    <row r="91" spans="1:51">
      <c r="A91" s="1" t="s">
        <v>457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2"/>
      <c r="N91" s="146"/>
      <c r="O91" s="12"/>
      <c r="P91" s="292"/>
      <c r="Q91" s="27"/>
      <c r="R91" s="312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26"/>
      <c r="AF91" s="26"/>
      <c r="AG91" s="146"/>
      <c r="AH91" s="26"/>
      <c r="AI91" s="128"/>
      <c r="AJ91" s="27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46"/>
      <c r="AX91" s="146">
        <f t="shared" si="53"/>
        <v>0</v>
      </c>
    </row>
    <row r="92" spans="1:51">
      <c r="A92" s="4" t="s">
        <v>458</v>
      </c>
      <c r="B92" s="146">
        <v>4075.98</v>
      </c>
      <c r="C92" s="146">
        <v>5849.67</v>
      </c>
      <c r="D92" s="146">
        <v>3893.26</v>
      </c>
      <c r="E92" s="146">
        <v>6690.37</v>
      </c>
      <c r="F92" s="146">
        <v>6954.07</v>
      </c>
      <c r="G92" s="146">
        <v>1677.01</v>
      </c>
      <c r="H92" s="146">
        <v>1997.46</v>
      </c>
      <c r="I92" s="146">
        <v>1032.76</v>
      </c>
      <c r="J92" s="146">
        <v>36.89</v>
      </c>
      <c r="K92" s="146">
        <v>1587.35</v>
      </c>
      <c r="L92" s="146">
        <v>1279.57</v>
      </c>
      <c r="M92" s="12">
        <v>2602.2199999999998</v>
      </c>
      <c r="N92" s="146">
        <f>SUM(B92:M92)</f>
        <v>37676.609999999993</v>
      </c>
      <c r="O92" s="12">
        <v>41500</v>
      </c>
      <c r="P92" s="311">
        <f>O92-N92</f>
        <v>3823.3900000000067</v>
      </c>
      <c r="Q92" s="27" t="s">
        <v>35</v>
      </c>
      <c r="R92" s="312">
        <v>1682.41</v>
      </c>
      <c r="S92" s="146">
        <v>902.58</v>
      </c>
      <c r="T92" s="146">
        <v>939.87</v>
      </c>
      <c r="U92" s="146">
        <v>0</v>
      </c>
      <c r="V92" s="146"/>
      <c r="W92" s="146">
        <v>1348.93</v>
      </c>
      <c r="X92" s="146">
        <v>386.81</v>
      </c>
      <c r="Y92" s="146">
        <v>835.54</v>
      </c>
      <c r="Z92" s="146">
        <v>1177.3800000000001</v>
      </c>
      <c r="AA92" s="146">
        <v>163.65</v>
      </c>
      <c r="AB92" s="146">
        <v>452.21</v>
      </c>
      <c r="AC92" s="146">
        <v>1046.1199999999999</v>
      </c>
      <c r="AD92" s="146">
        <f>SUM(Q92:AC92)</f>
        <v>8935.5</v>
      </c>
      <c r="AE92" s="26">
        <v>24500</v>
      </c>
      <c r="AF92" s="26"/>
      <c r="AG92" s="146">
        <f>AE92-AD92</f>
        <v>15564.5</v>
      </c>
      <c r="AH92" s="26">
        <f>-(AE92-AG92)</f>
        <v>-8935.5</v>
      </c>
      <c r="AI92" s="128">
        <f t="shared" si="30"/>
        <v>0.57409489543512482</v>
      </c>
      <c r="AJ92" s="27"/>
      <c r="AK92" s="26">
        <v>1200</v>
      </c>
      <c r="AL92" s="26">
        <v>1200</v>
      </c>
      <c r="AM92" s="26">
        <v>1200</v>
      </c>
      <c r="AN92" s="26">
        <v>1200</v>
      </c>
      <c r="AO92" s="26">
        <v>1200</v>
      </c>
      <c r="AP92" s="26">
        <v>1200</v>
      </c>
      <c r="AQ92" s="26">
        <v>1200</v>
      </c>
      <c r="AR92" s="26">
        <v>1200</v>
      </c>
      <c r="AS92" s="26">
        <v>1200</v>
      </c>
      <c r="AT92" s="26">
        <v>1200</v>
      </c>
      <c r="AU92" s="26">
        <v>1200</v>
      </c>
      <c r="AV92" s="26">
        <v>1200</v>
      </c>
      <c r="AW92" s="146">
        <f>SUM(AK92:AV92)</f>
        <v>14400</v>
      </c>
      <c r="AX92" s="146">
        <f t="shared" si="53"/>
        <v>8935.5</v>
      </c>
    </row>
    <row r="93" spans="1:51">
      <c r="A93" s="142" t="s">
        <v>459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2"/>
      <c r="N93" s="146"/>
      <c r="O93" s="12"/>
      <c r="P93" s="311"/>
      <c r="Q93" s="27"/>
      <c r="R93" s="312"/>
      <c r="S93" s="146">
        <v>224.94</v>
      </c>
      <c r="T93" s="146">
        <v>-49.3</v>
      </c>
      <c r="U93" s="146">
        <v>-695.65</v>
      </c>
      <c r="V93" s="146">
        <f>975.89-1200.83</f>
        <v>-224.93999999999994</v>
      </c>
      <c r="W93" s="146"/>
      <c r="X93" s="146"/>
      <c r="Y93" s="146"/>
      <c r="Z93" s="146"/>
      <c r="AA93" s="146">
        <v>115.65</v>
      </c>
      <c r="AB93" s="146"/>
      <c r="AC93" s="146"/>
      <c r="AD93" s="146">
        <v>-629.29999999999995</v>
      </c>
      <c r="AE93" s="26">
        <v>0</v>
      </c>
      <c r="AF93" s="26"/>
      <c r="AG93" s="146">
        <f>AE93-AD93</f>
        <v>629.29999999999995</v>
      </c>
      <c r="AH93" s="26"/>
      <c r="AI93" s="128"/>
      <c r="AJ93" s="27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146"/>
      <c r="AX93" s="146">
        <f t="shared" si="53"/>
        <v>-629.29999999999995</v>
      </c>
    </row>
    <row r="94" spans="1:51">
      <c r="A94" s="160" t="s">
        <v>460</v>
      </c>
      <c r="B94" s="146">
        <v>2609.75</v>
      </c>
      <c r="C94" s="146">
        <v>0</v>
      </c>
      <c r="D94" s="146">
        <v>1001.1</v>
      </c>
      <c r="E94" s="146">
        <v>1471.76</v>
      </c>
      <c r="F94" s="146">
        <v>751.86</v>
      </c>
      <c r="G94" s="146">
        <v>1427.86</v>
      </c>
      <c r="H94" s="146">
        <v>0</v>
      </c>
      <c r="I94" s="146">
        <v>1592.3</v>
      </c>
      <c r="J94" s="146">
        <v>559.95000000000005</v>
      </c>
      <c r="K94" s="146">
        <v>1291.3699999999999</v>
      </c>
      <c r="L94" s="146">
        <v>1436.94</v>
      </c>
      <c r="M94" s="12">
        <v>1063.0999999999999</v>
      </c>
      <c r="N94" s="146">
        <f>SUM(B94:M94)</f>
        <v>13205.990000000002</v>
      </c>
      <c r="O94" s="12">
        <v>20400</v>
      </c>
      <c r="P94" s="311">
        <f>O94-N94</f>
        <v>7194.0099999999984</v>
      </c>
      <c r="Q94" s="27"/>
      <c r="R94" s="312">
        <v>664.6</v>
      </c>
      <c r="S94" s="146">
        <v>0</v>
      </c>
      <c r="T94" s="146">
        <v>0</v>
      </c>
      <c r="U94" s="146">
        <v>0</v>
      </c>
      <c r="V94" s="146">
        <v>569.6</v>
      </c>
      <c r="W94" s="146">
        <v>629.52</v>
      </c>
      <c r="X94" s="146">
        <v>0</v>
      </c>
      <c r="Y94" s="146">
        <v>0</v>
      </c>
      <c r="Z94" s="146">
        <v>0</v>
      </c>
      <c r="AA94" s="146">
        <v>0</v>
      </c>
      <c r="AB94" s="146">
        <v>0</v>
      </c>
      <c r="AC94" s="146">
        <v>193.2</v>
      </c>
      <c r="AD94" s="146">
        <f>SUM(Q94:AC94)</f>
        <v>2056.92</v>
      </c>
      <c r="AE94" s="26">
        <v>3400</v>
      </c>
      <c r="AF94" s="26"/>
      <c r="AG94" s="146">
        <f>AE94-AD94</f>
        <v>1343.08</v>
      </c>
      <c r="AH94" s="26">
        <f>-(AE94-AG94)</f>
        <v>-2056.92</v>
      </c>
      <c r="AI94" s="128">
        <f t="shared" si="30"/>
        <v>1.5314947732078508</v>
      </c>
      <c r="AJ94" s="27"/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  <c r="AV94" s="26">
        <v>0</v>
      </c>
      <c r="AW94" s="146">
        <f>SUM(AK94:AV94)</f>
        <v>0</v>
      </c>
      <c r="AX94" s="146">
        <f t="shared" si="53"/>
        <v>2056.92</v>
      </c>
    </row>
    <row r="95" spans="1:51">
      <c r="A95" s="4" t="s">
        <v>461</v>
      </c>
      <c r="B95" s="146">
        <v>0</v>
      </c>
      <c r="C95" s="146">
        <v>0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1628.09</v>
      </c>
      <c r="M95" s="28">
        <v>115</v>
      </c>
      <c r="N95" s="146">
        <f>SUM(B95:M95)</f>
        <v>1743.09</v>
      </c>
      <c r="O95" s="12">
        <v>29600</v>
      </c>
      <c r="P95" s="311">
        <f>O95-N95</f>
        <v>27856.91</v>
      </c>
      <c r="Q95" s="27" t="s">
        <v>38</v>
      </c>
      <c r="R95" s="312"/>
      <c r="S95" s="146"/>
      <c r="T95" s="146">
        <v>444</v>
      </c>
      <c r="U95" s="146">
        <v>0</v>
      </c>
      <c r="V95" s="146">
        <v>0</v>
      </c>
      <c r="W95" s="146">
        <v>1572.05</v>
      </c>
      <c r="X95" s="146">
        <v>1229.69</v>
      </c>
      <c r="Y95" s="146">
        <v>-1933.52</v>
      </c>
      <c r="Z95" s="146">
        <v>7103.25</v>
      </c>
      <c r="AA95" s="146">
        <v>1851.89</v>
      </c>
      <c r="AB95" s="146">
        <v>-4003.19</v>
      </c>
      <c r="AC95" s="146">
        <v>-345.65</v>
      </c>
      <c r="AD95" s="146">
        <f>SUM(Q95:AC95)</f>
        <v>5918.5199999999986</v>
      </c>
      <c r="AE95" s="26">
        <v>10000</v>
      </c>
      <c r="AF95" s="26"/>
      <c r="AG95" s="146">
        <f>AE95-AD95</f>
        <v>4081.4800000000014</v>
      </c>
      <c r="AH95" s="138">
        <f>-(AE95-AG95)</f>
        <v>-5918.5199999999986</v>
      </c>
      <c r="AI95" s="129">
        <f t="shared" si="30"/>
        <v>1.4500916334270892</v>
      </c>
      <c r="AJ95" s="27"/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4000</v>
      </c>
      <c r="AT95" s="26">
        <v>0</v>
      </c>
      <c r="AU95" s="26">
        <v>0</v>
      </c>
      <c r="AV95" s="26">
        <v>0</v>
      </c>
      <c r="AW95" s="146">
        <f>SUM(AK95:AV95)</f>
        <v>4000</v>
      </c>
      <c r="AX95" s="315">
        <f t="shared" si="53"/>
        <v>5918.5199999999986</v>
      </c>
    </row>
    <row r="96" spans="1:51">
      <c r="A96" s="1" t="s">
        <v>97</v>
      </c>
      <c r="B96" s="316">
        <f t="shared" ref="B96:N96" si="57">SUM(B92:B95)</f>
        <v>6685.73</v>
      </c>
      <c r="C96" s="316">
        <f t="shared" si="57"/>
        <v>5849.67</v>
      </c>
      <c r="D96" s="316">
        <f t="shared" si="57"/>
        <v>4894.3600000000006</v>
      </c>
      <c r="E96" s="316">
        <f t="shared" si="57"/>
        <v>8162.13</v>
      </c>
      <c r="F96" s="316">
        <f t="shared" si="57"/>
        <v>7705.9299999999994</v>
      </c>
      <c r="G96" s="316">
        <f t="shared" si="57"/>
        <v>3104.87</v>
      </c>
      <c r="H96" s="316">
        <f t="shared" si="57"/>
        <v>1997.46</v>
      </c>
      <c r="I96" s="316">
        <f t="shared" si="57"/>
        <v>2625.06</v>
      </c>
      <c r="J96" s="316">
        <f t="shared" si="57"/>
        <v>596.84</v>
      </c>
      <c r="K96" s="316">
        <f t="shared" si="57"/>
        <v>2878.72</v>
      </c>
      <c r="L96" s="316">
        <f t="shared" si="57"/>
        <v>4344.6000000000004</v>
      </c>
      <c r="M96" s="20">
        <f t="shared" si="57"/>
        <v>3780.3199999999997</v>
      </c>
      <c r="N96" s="316">
        <f t="shared" si="57"/>
        <v>52625.689999999988</v>
      </c>
      <c r="O96" s="20">
        <f>SUM(O92:O95)</f>
        <v>91500</v>
      </c>
      <c r="P96" s="20">
        <f>SUM(P92:P95)</f>
        <v>38874.310000000005</v>
      </c>
      <c r="Q96" s="27"/>
      <c r="R96" s="317">
        <f t="shared" ref="R96:AW96" si="58">SUM(R92:R95)</f>
        <v>2347.0100000000002</v>
      </c>
      <c r="S96" s="316">
        <f t="shared" si="58"/>
        <v>1127.52</v>
      </c>
      <c r="T96" s="316">
        <f t="shared" si="58"/>
        <v>1334.5700000000002</v>
      </c>
      <c r="U96" s="316">
        <f t="shared" si="58"/>
        <v>-695.65</v>
      </c>
      <c r="V96" s="316">
        <f t="shared" si="58"/>
        <v>344.66000000000008</v>
      </c>
      <c r="W96" s="316">
        <f t="shared" si="58"/>
        <v>3550.5</v>
      </c>
      <c r="X96" s="316">
        <f t="shared" si="58"/>
        <v>1616.5</v>
      </c>
      <c r="Y96" s="316">
        <f t="shared" si="58"/>
        <v>-1097.98</v>
      </c>
      <c r="Z96" s="316">
        <f t="shared" si="58"/>
        <v>8280.630000000001</v>
      </c>
      <c r="AA96" s="316">
        <f t="shared" si="58"/>
        <v>2131.19</v>
      </c>
      <c r="AB96" s="316">
        <f t="shared" si="58"/>
        <v>-3550.98</v>
      </c>
      <c r="AC96" s="316">
        <f t="shared" si="58"/>
        <v>893.67</v>
      </c>
      <c r="AD96" s="316">
        <f t="shared" si="58"/>
        <v>16281.64</v>
      </c>
      <c r="AE96" s="318">
        <f>SUM(AE92:AE95)</f>
        <v>37900</v>
      </c>
      <c r="AF96" s="318"/>
      <c r="AG96" s="145">
        <f>AE96-AD96</f>
        <v>21618.36</v>
      </c>
      <c r="AH96" s="26">
        <f>-(AE96-AG96)</f>
        <v>-16281.64</v>
      </c>
      <c r="AI96" s="128">
        <f t="shared" si="30"/>
        <v>0.75313946108770502</v>
      </c>
      <c r="AJ96" s="27"/>
      <c r="AK96" s="20">
        <f t="shared" si="58"/>
        <v>1200</v>
      </c>
      <c r="AL96" s="20">
        <f t="shared" si="58"/>
        <v>1200</v>
      </c>
      <c r="AM96" s="20">
        <f t="shared" si="58"/>
        <v>1200</v>
      </c>
      <c r="AN96" s="20">
        <f t="shared" si="58"/>
        <v>1200</v>
      </c>
      <c r="AO96" s="20">
        <f t="shared" si="58"/>
        <v>1200</v>
      </c>
      <c r="AP96" s="20">
        <f t="shared" si="58"/>
        <v>1200</v>
      </c>
      <c r="AQ96" s="20">
        <f t="shared" si="58"/>
        <v>1200</v>
      </c>
      <c r="AR96" s="20">
        <f t="shared" si="58"/>
        <v>1200</v>
      </c>
      <c r="AS96" s="20">
        <f t="shared" si="58"/>
        <v>5200</v>
      </c>
      <c r="AT96" s="20">
        <f t="shared" si="58"/>
        <v>1200</v>
      </c>
      <c r="AU96" s="20">
        <f t="shared" si="58"/>
        <v>1200</v>
      </c>
      <c r="AV96" s="20">
        <f t="shared" si="58"/>
        <v>1200</v>
      </c>
      <c r="AW96" s="316">
        <f t="shared" si="58"/>
        <v>18400</v>
      </c>
      <c r="AX96" s="163">
        <f t="shared" si="53"/>
        <v>16281.64</v>
      </c>
    </row>
    <row r="97" spans="1:52" ht="6" customHeight="1">
      <c r="A97" s="1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13"/>
      <c r="N97" s="319"/>
      <c r="O97" s="13"/>
      <c r="P97" s="292"/>
      <c r="Q97" s="27"/>
      <c r="R97" s="320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21"/>
      <c r="AF97" s="321"/>
      <c r="AG97" s="319"/>
      <c r="AH97" s="321"/>
      <c r="AI97" s="128"/>
      <c r="AJ97" s="27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319"/>
      <c r="AX97" s="146"/>
      <c r="AZ97" s="290"/>
    </row>
    <row r="98" spans="1:52" ht="14.5" customHeight="1">
      <c r="A98" s="1" t="s">
        <v>98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13"/>
      <c r="N98" s="319"/>
      <c r="O98" s="13"/>
      <c r="P98" s="292"/>
      <c r="Q98" s="27"/>
      <c r="R98" s="320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21"/>
      <c r="AF98" s="321"/>
      <c r="AG98" s="319"/>
      <c r="AH98" s="321"/>
      <c r="AI98" s="128"/>
      <c r="AJ98" s="27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319"/>
      <c r="AX98" s="146">
        <f t="shared" si="53"/>
        <v>0</v>
      </c>
      <c r="AZ98" s="290"/>
    </row>
    <row r="99" spans="1:52">
      <c r="A99" s="4" t="s">
        <v>199</v>
      </c>
      <c r="B99" s="146">
        <v>16830.39</v>
      </c>
      <c r="C99" s="146">
        <v>16830.39</v>
      </c>
      <c r="D99" s="146">
        <v>17104.39</v>
      </c>
      <c r="E99" s="146">
        <v>16899.07</v>
      </c>
      <c r="F99" s="146">
        <v>16899.07</v>
      </c>
      <c r="G99" s="146">
        <v>16899.07</v>
      </c>
      <c r="H99" s="146">
        <v>16899.07</v>
      </c>
      <c r="I99" s="146">
        <v>16899.07</v>
      </c>
      <c r="J99" s="146">
        <v>16899.07</v>
      </c>
      <c r="K99" s="146">
        <v>16899.07</v>
      </c>
      <c r="L99" s="146">
        <v>29969.41</v>
      </c>
      <c r="M99" s="314">
        <v>13070.34</v>
      </c>
      <c r="N99" s="146">
        <f>SUM(B99:M99)</f>
        <v>212098.41000000003</v>
      </c>
      <c r="O99" s="12">
        <v>306750</v>
      </c>
      <c r="P99" s="311">
        <f>O99-N99</f>
        <v>94651.589999999967</v>
      </c>
      <c r="Q99" s="27" t="s">
        <v>100</v>
      </c>
      <c r="R99" s="312">
        <v>31120.98</v>
      </c>
      <c r="S99" s="312">
        <v>31120.98</v>
      </c>
      <c r="T99" s="312">
        <v>31120.98</v>
      </c>
      <c r="U99" s="312">
        <v>31120.98</v>
      </c>
      <c r="V99" s="312">
        <v>31120.98</v>
      </c>
      <c r="W99" s="312">
        <v>31120.98</v>
      </c>
      <c r="X99" s="312">
        <v>31120.98</v>
      </c>
      <c r="Y99" s="312">
        <v>31120.98</v>
      </c>
      <c r="Z99" s="312">
        <v>31120.98</v>
      </c>
      <c r="AA99" s="312">
        <v>31120.98</v>
      </c>
      <c r="AB99" s="312">
        <v>31120.98</v>
      </c>
      <c r="AC99" s="312">
        <v>31120.98</v>
      </c>
      <c r="AD99" s="146">
        <f>SUM(Q99:AC99)</f>
        <v>373451.75999999995</v>
      </c>
      <c r="AE99" s="26">
        <v>369568.44</v>
      </c>
      <c r="AF99" s="26"/>
      <c r="AG99" s="146">
        <f>AE99-AD99</f>
        <v>-3883.3199999999488</v>
      </c>
      <c r="AH99" s="26">
        <f>-(AE99-AG99)</f>
        <v>-373451.75999999995</v>
      </c>
      <c r="AI99" s="128">
        <f t="shared" si="30"/>
        <v>-96.168165384260092</v>
      </c>
      <c r="AJ99" s="27"/>
      <c r="AK99" s="12">
        <f>'Payroll Worksheet'!E5</f>
        <v>17383.55</v>
      </c>
      <c r="AL99" s="12">
        <f>'Payroll Worksheet'!F5</f>
        <v>17383.55</v>
      </c>
      <c r="AM99" s="12">
        <f>'Payroll Worksheet'!G5</f>
        <v>17383.55</v>
      </c>
      <c r="AN99" s="12">
        <f>'Payroll Worksheet'!H5</f>
        <v>17383.55</v>
      </c>
      <c r="AO99" s="12">
        <f>'Payroll Worksheet'!I5</f>
        <v>17383.55</v>
      </c>
      <c r="AP99" s="12">
        <f>'Payroll Worksheet'!J5</f>
        <v>17383.55</v>
      </c>
      <c r="AQ99" s="12">
        <f>'Payroll Worksheet'!K5</f>
        <v>17383.55</v>
      </c>
      <c r="AR99" s="12">
        <f>'Payroll Worksheet'!L5</f>
        <v>17383.55</v>
      </c>
      <c r="AS99" s="12">
        <f>'Payroll Worksheet'!M5</f>
        <v>17383.55</v>
      </c>
      <c r="AT99" s="12">
        <f>'Payroll Worksheet'!N5</f>
        <v>17383.55</v>
      </c>
      <c r="AU99" s="12">
        <f>'Payroll Worksheet'!O5</f>
        <v>17383.55</v>
      </c>
      <c r="AV99" s="12">
        <f>'Payroll Worksheet'!P5</f>
        <v>17383.55</v>
      </c>
      <c r="AW99" s="146">
        <f>SUM(AK99:AV99)</f>
        <v>208602.59999999995</v>
      </c>
      <c r="AX99" s="146">
        <f t="shared" si="53"/>
        <v>373451.75999999995</v>
      </c>
      <c r="AY99" s="128">
        <f>(AW99-AX99)/AX99</f>
        <v>-0.44142022519856389</v>
      </c>
      <c r="AZ99" s="5" t="s">
        <v>462</v>
      </c>
    </row>
    <row r="100" spans="1:52">
      <c r="A100" s="4" t="s">
        <v>463</v>
      </c>
      <c r="B100" s="146">
        <v>8020</v>
      </c>
      <c r="C100" s="146">
        <v>8020</v>
      </c>
      <c r="D100" s="146">
        <v>8270</v>
      </c>
      <c r="E100" s="146">
        <v>8270</v>
      </c>
      <c r="F100" s="146">
        <v>8270</v>
      </c>
      <c r="G100" s="146">
        <v>9520</v>
      </c>
      <c r="H100" s="146">
        <v>8770</v>
      </c>
      <c r="I100" s="146">
        <v>8020</v>
      </c>
      <c r="J100" s="146">
        <v>4973.26</v>
      </c>
      <c r="K100" s="146">
        <v>5722.25</v>
      </c>
      <c r="L100" s="146">
        <v>7288.95</v>
      </c>
      <c r="M100" s="12">
        <v>5319.9</v>
      </c>
      <c r="N100" s="146">
        <f>SUM(B100:M100)</f>
        <v>90464.359999999986</v>
      </c>
      <c r="O100" s="12">
        <v>96240</v>
      </c>
      <c r="P100" s="311">
        <f>O100-N100</f>
        <v>5775.640000000014</v>
      </c>
      <c r="Q100" s="27" t="s">
        <v>102</v>
      </c>
      <c r="R100" s="312">
        <v>5703.5</v>
      </c>
      <c r="S100" s="146">
        <v>5249</v>
      </c>
      <c r="T100" s="146">
        <v>4552.75</v>
      </c>
      <c r="U100" s="146">
        <v>5201.6499999999996</v>
      </c>
      <c r="V100" s="146">
        <v>4496.6000000000004</v>
      </c>
      <c r="W100" s="146">
        <v>1661.8</v>
      </c>
      <c r="X100" s="146">
        <v>1891.5</v>
      </c>
      <c r="Y100" s="146">
        <v>2946</v>
      </c>
      <c r="Z100" s="146">
        <v>2589.5</v>
      </c>
      <c r="AA100" s="146">
        <v>2625</v>
      </c>
      <c r="AB100" s="146">
        <v>3339.75</v>
      </c>
      <c r="AC100" s="146">
        <v>2294.75</v>
      </c>
      <c r="AD100" s="146">
        <f>SUM(Q100:AC100)</f>
        <v>42551.8</v>
      </c>
      <c r="AE100" s="26">
        <v>52782.69</v>
      </c>
      <c r="AF100" s="26"/>
      <c r="AG100" s="146">
        <f>AE100-AD100</f>
        <v>10230.89</v>
      </c>
      <c r="AH100" s="26">
        <f>-(AE100-AG100)</f>
        <v>-42551.8</v>
      </c>
      <c r="AI100" s="128">
        <f t="shared" si="30"/>
        <v>4.1591493995146074</v>
      </c>
      <c r="AJ100" s="27" t="s">
        <v>464</v>
      </c>
      <c r="AK100" s="12">
        <f>'Payroll Worksheet'!E16</f>
        <v>5740</v>
      </c>
      <c r="AL100" s="12">
        <f>'Payroll Worksheet'!F16</f>
        <v>5740</v>
      </c>
      <c r="AM100" s="12">
        <f>'Payroll Worksheet'!G16</f>
        <v>5740</v>
      </c>
      <c r="AN100" s="12">
        <f>'Payroll Worksheet'!H16</f>
        <v>4700</v>
      </c>
      <c r="AO100" s="12">
        <f>'Payroll Worksheet'!I16</f>
        <v>4700</v>
      </c>
      <c r="AP100" s="12">
        <f>'Payroll Worksheet'!J16</f>
        <v>2090</v>
      </c>
      <c r="AQ100" s="12">
        <f>'Payroll Worksheet'!K16</f>
        <v>1050</v>
      </c>
      <c r="AR100" s="12">
        <f>'Payroll Worksheet'!L16</f>
        <v>2987.0833333333335</v>
      </c>
      <c r="AS100" s="12">
        <f>'Payroll Worksheet'!M16</f>
        <v>3134.166666666667</v>
      </c>
      <c r="AT100" s="12">
        <f>'Payroll Worksheet'!N16</f>
        <v>4928.3333333333339</v>
      </c>
      <c r="AU100" s="12">
        <f>'Payroll Worksheet'!O16</f>
        <v>4928.3333333333339</v>
      </c>
      <c r="AV100" s="12">
        <f>'Payroll Worksheet'!P16</f>
        <v>4928.3333333333339</v>
      </c>
      <c r="AW100" s="146">
        <f>SUM(AK100:AV100)</f>
        <v>50666.250000000007</v>
      </c>
      <c r="AX100" s="146">
        <f t="shared" si="53"/>
        <v>42551.8</v>
      </c>
      <c r="AZ100" s="290"/>
    </row>
    <row r="101" spans="1:52">
      <c r="A101" s="4" t="s">
        <v>210</v>
      </c>
      <c r="B101" s="146">
        <v>1128.48</v>
      </c>
      <c r="C101" s="146">
        <v>1244.0999999999999</v>
      </c>
      <c r="D101" s="146">
        <v>-792.62</v>
      </c>
      <c r="E101" s="146">
        <v>560.30999999999995</v>
      </c>
      <c r="F101" s="146">
        <v>504.97</v>
      </c>
      <c r="G101" s="146">
        <v>420.88</v>
      </c>
      <c r="H101" s="146">
        <v>450.56</v>
      </c>
      <c r="I101" s="146">
        <v>394.31</v>
      </c>
      <c r="J101" s="146">
        <v>322.42</v>
      </c>
      <c r="K101" s="146">
        <v>372.81</v>
      </c>
      <c r="L101" s="146">
        <v>331.25</v>
      </c>
      <c r="M101" s="12">
        <v>316.41000000000003</v>
      </c>
      <c r="N101" s="146">
        <f>SUM(B101:M101)</f>
        <v>5253.88</v>
      </c>
      <c r="O101" s="12">
        <v>5425.5</v>
      </c>
      <c r="P101" s="311">
        <f>O101-N101</f>
        <v>171.61999999999989</v>
      </c>
      <c r="Q101" s="27"/>
      <c r="R101" s="312">
        <v>374.58</v>
      </c>
      <c r="S101" s="146">
        <v>359.04</v>
      </c>
      <c r="T101" s="146">
        <v>393.73</v>
      </c>
      <c r="U101" s="146">
        <v>362.29</v>
      </c>
      <c r="V101" s="146">
        <v>376.01</v>
      </c>
      <c r="W101" s="146">
        <v>378.56</v>
      </c>
      <c r="X101" s="146">
        <v>397.35</v>
      </c>
      <c r="Y101" s="146">
        <v>400.97</v>
      </c>
      <c r="Z101" s="146">
        <v>417.23</v>
      </c>
      <c r="AA101" s="146">
        <v>417.6</v>
      </c>
      <c r="AB101" s="146">
        <v>379.26</v>
      </c>
      <c r="AC101" s="146">
        <v>362.66</v>
      </c>
      <c r="AD101" s="146">
        <f>SUM(Q101:AC101)</f>
        <v>4619.28</v>
      </c>
      <c r="AE101" s="26">
        <v>4525.3</v>
      </c>
      <c r="AF101" s="26"/>
      <c r="AG101" s="146">
        <f>AE101-AD101</f>
        <v>-93.979999999999563</v>
      </c>
      <c r="AH101" s="26">
        <f>-(AE101-AG101)</f>
        <v>-4619.28</v>
      </c>
      <c r="AI101" s="128">
        <f t="shared" si="30"/>
        <v>-49.151734411577159</v>
      </c>
      <c r="AJ101" s="27"/>
      <c r="AK101" s="12">
        <f>'Payroll Worksheet'!E23</f>
        <v>223.12499999999997</v>
      </c>
      <c r="AL101" s="12">
        <f>'Payroll Worksheet'!F23</f>
        <v>223.12499999999997</v>
      </c>
      <c r="AM101" s="12">
        <f>'Payroll Worksheet'!G23</f>
        <v>223.12499999999997</v>
      </c>
      <c r="AN101" s="12">
        <f>'Payroll Worksheet'!H23</f>
        <v>223.12499999999997</v>
      </c>
      <c r="AO101" s="12">
        <f>'Payroll Worksheet'!I23</f>
        <v>0</v>
      </c>
      <c r="AP101" s="12">
        <f>'Payroll Worksheet'!J23</f>
        <v>0</v>
      </c>
      <c r="AQ101" s="12">
        <f>'Payroll Worksheet'!K23</f>
        <v>0</v>
      </c>
      <c r="AR101" s="12">
        <f>'Payroll Worksheet'!L23</f>
        <v>0</v>
      </c>
      <c r="AS101" s="12">
        <f>'Payroll Worksheet'!M23</f>
        <v>0</v>
      </c>
      <c r="AT101" s="12">
        <f>'Payroll Worksheet'!N23</f>
        <v>0</v>
      </c>
      <c r="AU101" s="12">
        <f>'Payroll Worksheet'!O23</f>
        <v>0</v>
      </c>
      <c r="AV101" s="12">
        <f>'Payroll Worksheet'!P23</f>
        <v>0</v>
      </c>
      <c r="AW101" s="146">
        <f>SUM(AK101:AV101)</f>
        <v>892.49999999999989</v>
      </c>
      <c r="AX101" s="146">
        <f t="shared" si="53"/>
        <v>4619.28</v>
      </c>
      <c r="AZ101" s="290"/>
    </row>
    <row r="102" spans="1:52">
      <c r="A102" s="4" t="s">
        <v>211</v>
      </c>
      <c r="B102" s="146">
        <v>4359.1000000000004</v>
      </c>
      <c r="C102" s="146">
        <v>5870.65</v>
      </c>
      <c r="D102" s="146">
        <v>5936.06</v>
      </c>
      <c r="E102" s="146">
        <v>7324.5</v>
      </c>
      <c r="F102" s="146">
        <v>6601.05</v>
      </c>
      <c r="G102" s="146">
        <v>5501.75</v>
      </c>
      <c r="H102" s="146">
        <v>5889.53</v>
      </c>
      <c r="I102" s="146">
        <v>5154.3</v>
      </c>
      <c r="J102" s="146">
        <v>4214.7</v>
      </c>
      <c r="K102" s="146">
        <v>4873.2</v>
      </c>
      <c r="L102" s="146">
        <v>4330.1000000000004</v>
      </c>
      <c r="M102" s="28">
        <v>4136.2</v>
      </c>
      <c r="N102" s="146">
        <f>SUM(B102:M102)</f>
        <v>64191.139999999992</v>
      </c>
      <c r="O102" s="12">
        <v>46200</v>
      </c>
      <c r="P102" s="311">
        <f>O102-N102</f>
        <v>-17991.139999999992</v>
      </c>
      <c r="Q102" s="27" t="s">
        <v>105</v>
      </c>
      <c r="R102" s="312">
        <v>4896.4399999999996</v>
      </c>
      <c r="S102" s="146">
        <v>4693.2700000000004</v>
      </c>
      <c r="T102" s="146">
        <v>5146.87</v>
      </c>
      <c r="U102" s="146">
        <v>4735.79</v>
      </c>
      <c r="V102" s="146">
        <v>4915.34</v>
      </c>
      <c r="W102" s="146">
        <v>4948.41</v>
      </c>
      <c r="X102" s="146">
        <v>5194.1099999999997</v>
      </c>
      <c r="Y102" s="146">
        <v>5241.3599999999997</v>
      </c>
      <c r="Z102" s="146">
        <v>5453.99</v>
      </c>
      <c r="AA102" s="146">
        <v>5458.71</v>
      </c>
      <c r="AB102" s="146">
        <v>4957.8599999999997</v>
      </c>
      <c r="AC102" s="146">
        <v>4740.51</v>
      </c>
      <c r="AD102" s="146">
        <f>SUM(Q102:AC102)</f>
        <v>60382.659999999996</v>
      </c>
      <c r="AE102" s="26">
        <v>59154.2</v>
      </c>
      <c r="AF102" s="26"/>
      <c r="AG102" s="146">
        <f>AE102-AD102</f>
        <v>-1228.4599999999991</v>
      </c>
      <c r="AH102" s="138">
        <f>-(AE102-AG102)</f>
        <v>-60382.659999999996</v>
      </c>
      <c r="AI102" s="129">
        <f t="shared" si="30"/>
        <v>-49.153134819204567</v>
      </c>
      <c r="AJ102" s="27" t="s">
        <v>465</v>
      </c>
      <c r="AK102" s="12">
        <f>'Payroll Worksheet'!E21</f>
        <v>2916.6666666666665</v>
      </c>
      <c r="AL102" s="12">
        <f>'Payroll Worksheet'!F21</f>
        <v>2916.6666666666665</v>
      </c>
      <c r="AM102" s="12">
        <f>'Payroll Worksheet'!G21</f>
        <v>2916.6666666666665</v>
      </c>
      <c r="AN102" s="12">
        <f>'Payroll Worksheet'!H21</f>
        <v>2916.6666666666665</v>
      </c>
      <c r="AO102" s="12">
        <f>'Payroll Worksheet'!I21</f>
        <v>0</v>
      </c>
      <c r="AP102" s="12">
        <f>'Payroll Worksheet'!J21</f>
        <v>0</v>
      </c>
      <c r="AQ102" s="12">
        <f>'Payroll Worksheet'!K21</f>
        <v>0</v>
      </c>
      <c r="AR102" s="12">
        <f>'Payroll Worksheet'!L21</f>
        <v>0</v>
      </c>
      <c r="AS102" s="12">
        <f>'Payroll Worksheet'!M21</f>
        <v>0</v>
      </c>
      <c r="AT102" s="12">
        <f>'Payroll Worksheet'!N21</f>
        <v>0</v>
      </c>
      <c r="AU102" s="12">
        <f>'Payroll Worksheet'!O21</f>
        <v>0</v>
      </c>
      <c r="AV102" s="12">
        <f>'Payroll Worksheet'!P21</f>
        <v>0</v>
      </c>
      <c r="AW102" s="146">
        <f>SUM(AK102:AV102)</f>
        <v>11666.666666666666</v>
      </c>
      <c r="AX102" s="315">
        <f t="shared" si="53"/>
        <v>60382.659999999996</v>
      </c>
      <c r="AZ102" s="290"/>
    </row>
    <row r="103" spans="1:52">
      <c r="A103" s="1" t="s">
        <v>106</v>
      </c>
      <c r="B103" s="316">
        <f t="shared" ref="B103:N103" si="59">SUM(B99:B102)</f>
        <v>30337.97</v>
      </c>
      <c r="C103" s="316">
        <f t="shared" si="59"/>
        <v>31965.14</v>
      </c>
      <c r="D103" s="316">
        <f t="shared" si="59"/>
        <v>30517.83</v>
      </c>
      <c r="E103" s="316">
        <f t="shared" si="59"/>
        <v>33053.880000000005</v>
      </c>
      <c r="F103" s="316">
        <f t="shared" si="59"/>
        <v>32275.09</v>
      </c>
      <c r="G103" s="316">
        <f t="shared" si="59"/>
        <v>32341.7</v>
      </c>
      <c r="H103" s="316">
        <f t="shared" si="59"/>
        <v>32009.16</v>
      </c>
      <c r="I103" s="316">
        <f t="shared" si="59"/>
        <v>30467.68</v>
      </c>
      <c r="J103" s="316">
        <f t="shared" si="59"/>
        <v>26409.45</v>
      </c>
      <c r="K103" s="316">
        <f t="shared" si="59"/>
        <v>27867.33</v>
      </c>
      <c r="L103" s="316">
        <f t="shared" si="59"/>
        <v>41919.71</v>
      </c>
      <c r="M103" s="20">
        <f t="shared" si="59"/>
        <v>22842.85</v>
      </c>
      <c r="N103" s="316">
        <f t="shared" si="59"/>
        <v>372007.79000000004</v>
      </c>
      <c r="O103" s="20">
        <f>SUM(O99:O102)</f>
        <v>454615.5</v>
      </c>
      <c r="P103" s="20">
        <f>SUM(P99:P102)</f>
        <v>82607.709999999992</v>
      </c>
      <c r="Q103" s="27"/>
      <c r="R103" s="317">
        <f t="shared" ref="R103:AW103" si="60">SUM(R99:R102)</f>
        <v>42095.5</v>
      </c>
      <c r="S103" s="316">
        <f t="shared" si="60"/>
        <v>41422.289999999994</v>
      </c>
      <c r="T103" s="316">
        <f t="shared" si="60"/>
        <v>41214.33</v>
      </c>
      <c r="U103" s="316">
        <f t="shared" si="60"/>
        <v>41420.71</v>
      </c>
      <c r="V103" s="316">
        <f t="shared" si="60"/>
        <v>40908.930000000008</v>
      </c>
      <c r="W103" s="316">
        <f t="shared" si="60"/>
        <v>38109.75</v>
      </c>
      <c r="X103" s="316">
        <f t="shared" si="60"/>
        <v>38603.939999999995</v>
      </c>
      <c r="Y103" s="316">
        <f t="shared" si="60"/>
        <v>39709.31</v>
      </c>
      <c r="Z103" s="316">
        <f t="shared" si="60"/>
        <v>39581.699999999997</v>
      </c>
      <c r="AA103" s="316">
        <f t="shared" si="60"/>
        <v>39622.289999999994</v>
      </c>
      <c r="AB103" s="316">
        <f t="shared" si="60"/>
        <v>39797.85</v>
      </c>
      <c r="AC103" s="316">
        <f t="shared" si="60"/>
        <v>38518.9</v>
      </c>
      <c r="AD103" s="316">
        <f t="shared" si="60"/>
        <v>481005.49999999994</v>
      </c>
      <c r="AE103" s="318">
        <f>SUM(AE99:AE102)</f>
        <v>486030.63</v>
      </c>
      <c r="AF103" s="318"/>
      <c r="AG103" s="145">
        <f>AE103-AD103</f>
        <v>5025.1300000000629</v>
      </c>
      <c r="AH103" s="26">
        <f>-(AE103-AG103)</f>
        <v>-481005.49999999994</v>
      </c>
      <c r="AI103" s="128">
        <f t="shared" si="30"/>
        <v>95.720011223589026</v>
      </c>
      <c r="AJ103" s="27"/>
      <c r="AK103" s="20">
        <f t="shared" si="60"/>
        <v>26263.341666666667</v>
      </c>
      <c r="AL103" s="20">
        <f t="shared" si="60"/>
        <v>26263.341666666667</v>
      </c>
      <c r="AM103" s="20">
        <f t="shared" si="60"/>
        <v>26263.341666666667</v>
      </c>
      <c r="AN103" s="20">
        <f t="shared" si="60"/>
        <v>25223.341666666667</v>
      </c>
      <c r="AO103" s="20">
        <f t="shared" si="60"/>
        <v>22083.55</v>
      </c>
      <c r="AP103" s="20">
        <f t="shared" si="60"/>
        <v>19473.55</v>
      </c>
      <c r="AQ103" s="20">
        <f t="shared" si="60"/>
        <v>18433.55</v>
      </c>
      <c r="AR103" s="20">
        <f t="shared" si="60"/>
        <v>20370.633333333331</v>
      </c>
      <c r="AS103" s="20">
        <f t="shared" si="60"/>
        <v>20517.716666666667</v>
      </c>
      <c r="AT103" s="20">
        <f t="shared" si="60"/>
        <v>22311.883333333331</v>
      </c>
      <c r="AU103" s="20">
        <f t="shared" si="60"/>
        <v>22311.883333333331</v>
      </c>
      <c r="AV103" s="20">
        <f t="shared" si="60"/>
        <v>22311.883333333331</v>
      </c>
      <c r="AW103" s="316">
        <f t="shared" si="60"/>
        <v>271828.0166666666</v>
      </c>
      <c r="AX103" s="163">
        <f t="shared" si="53"/>
        <v>481005.49999999994</v>
      </c>
      <c r="AZ103" s="290"/>
    </row>
    <row r="104" spans="1:52" ht="6" customHeight="1">
      <c r="A104" s="1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13"/>
      <c r="N104" s="319"/>
      <c r="O104" s="13"/>
      <c r="P104" s="292"/>
      <c r="Q104" s="27"/>
      <c r="R104" s="320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21"/>
      <c r="AF104" s="321"/>
      <c r="AG104" s="319"/>
      <c r="AH104" s="321"/>
      <c r="AI104" s="128"/>
      <c r="AJ104" s="27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319"/>
      <c r="AX104" s="315"/>
      <c r="AZ104" s="290"/>
    </row>
    <row r="105" spans="1:52" s="91" customFormat="1">
      <c r="A105" s="1" t="s">
        <v>107</v>
      </c>
      <c r="B105" s="316">
        <f t="shared" ref="B105:N105" si="61">B54+B62+B72+B77+B89+B96+B103</f>
        <v>52157.53</v>
      </c>
      <c r="C105" s="316">
        <f t="shared" si="61"/>
        <v>64582.039999999994</v>
      </c>
      <c r="D105" s="316">
        <f t="shared" si="61"/>
        <v>61120.23</v>
      </c>
      <c r="E105" s="316">
        <f t="shared" si="61"/>
        <v>54304.290000000008</v>
      </c>
      <c r="F105" s="316">
        <f t="shared" si="61"/>
        <v>54960.71</v>
      </c>
      <c r="G105" s="316">
        <f t="shared" si="61"/>
        <v>45293.79</v>
      </c>
      <c r="H105" s="316">
        <f t="shared" si="61"/>
        <v>46769.29</v>
      </c>
      <c r="I105" s="316">
        <f t="shared" si="61"/>
        <v>46650.400000000001</v>
      </c>
      <c r="J105" s="316" t="e">
        <f t="shared" si="61"/>
        <v>#REF!</v>
      </c>
      <c r="K105" s="316">
        <f t="shared" si="61"/>
        <v>50777.86</v>
      </c>
      <c r="L105" s="316">
        <f t="shared" si="61"/>
        <v>69657.459999999992</v>
      </c>
      <c r="M105" s="20">
        <f t="shared" si="61"/>
        <v>48269.9</v>
      </c>
      <c r="N105" s="316" t="e">
        <f t="shared" si="61"/>
        <v>#REF!</v>
      </c>
      <c r="O105" s="24">
        <f>O54+O62+O72+O77+O89+O96+O103</f>
        <v>854167.53</v>
      </c>
      <c r="P105" s="24" t="e">
        <f>P54+P62+P72+P77+P89+P96+P103</f>
        <v>#REF!</v>
      </c>
      <c r="Q105" s="24"/>
      <c r="R105" s="322">
        <f t="shared" ref="R105:AE105" si="62">R54+R62+R72+R77+R89+R96+R103</f>
        <v>63748.61</v>
      </c>
      <c r="S105" s="323">
        <f t="shared" si="62"/>
        <v>70951.399999999994</v>
      </c>
      <c r="T105" s="323">
        <f t="shared" si="62"/>
        <v>58535.75</v>
      </c>
      <c r="U105" s="323">
        <f t="shared" si="62"/>
        <v>63083.719999999994</v>
      </c>
      <c r="V105" s="323">
        <f t="shared" si="62"/>
        <v>59913.540000000008</v>
      </c>
      <c r="W105" s="323">
        <f t="shared" si="62"/>
        <v>54380.99</v>
      </c>
      <c r="X105" s="323">
        <f t="shared" si="62"/>
        <v>61813.679999999993</v>
      </c>
      <c r="Y105" s="323">
        <f t="shared" si="62"/>
        <v>55366.229999999996</v>
      </c>
      <c r="Z105" s="323">
        <f t="shared" si="62"/>
        <v>60987.6</v>
      </c>
      <c r="AA105" s="323">
        <f t="shared" si="62"/>
        <v>58627.609999999986</v>
      </c>
      <c r="AB105" s="323">
        <f t="shared" si="62"/>
        <v>53557.539999999994</v>
      </c>
      <c r="AC105" s="323">
        <f t="shared" si="62"/>
        <v>59864.94</v>
      </c>
      <c r="AD105" s="323">
        <f t="shared" si="62"/>
        <v>720831.60999999987</v>
      </c>
      <c r="AE105" s="24">
        <f t="shared" si="62"/>
        <v>758354.47</v>
      </c>
      <c r="AF105" s="24"/>
      <c r="AG105" s="145">
        <f>AE105-AD105</f>
        <v>37522.860000000102</v>
      </c>
      <c r="AH105" s="337">
        <f>-(AE105-AG105)</f>
        <v>-720831.60999999987</v>
      </c>
      <c r="AI105" s="139">
        <f t="shared" si="30"/>
        <v>19.210465566857053</v>
      </c>
      <c r="AJ105" s="131"/>
      <c r="AK105" s="20">
        <f t="shared" ref="AK105:AW105" si="63">AK54+AK62+AK72+AK77+AK89+AK96+AK103</f>
        <v>59819.421666666669</v>
      </c>
      <c r="AL105" s="20">
        <f t="shared" si="63"/>
        <v>71517.741666666669</v>
      </c>
      <c r="AM105" s="20">
        <f t="shared" si="63"/>
        <v>41204.251666666663</v>
      </c>
      <c r="AN105" s="20">
        <f t="shared" si="63"/>
        <v>43817.921666666669</v>
      </c>
      <c r="AO105" s="20">
        <f t="shared" si="63"/>
        <v>46310.130000000005</v>
      </c>
      <c r="AP105" s="20">
        <f t="shared" si="63"/>
        <v>36329.58</v>
      </c>
      <c r="AQ105" s="20">
        <f t="shared" si="63"/>
        <v>32805.339999999997</v>
      </c>
      <c r="AR105" s="20">
        <f t="shared" si="63"/>
        <v>44843.653333333335</v>
      </c>
      <c r="AS105" s="20">
        <f t="shared" si="63"/>
        <v>44770.736666666664</v>
      </c>
      <c r="AT105" s="20">
        <f t="shared" si="63"/>
        <v>52343.283333333333</v>
      </c>
      <c r="AU105" s="20">
        <f t="shared" si="63"/>
        <v>43839.463333333333</v>
      </c>
      <c r="AV105" s="20">
        <f t="shared" si="63"/>
        <v>38123.703333333331</v>
      </c>
      <c r="AW105" s="316">
        <f t="shared" si="63"/>
        <v>555725.22666666657</v>
      </c>
      <c r="AX105" s="164">
        <f t="shared" si="53"/>
        <v>720831.60999999987</v>
      </c>
      <c r="AY105" s="131"/>
      <c r="AZ105" s="3"/>
    </row>
    <row r="106" spans="1:52" s="91" customFormat="1">
      <c r="A106" s="1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5"/>
      <c r="N106" s="316"/>
      <c r="O106" s="20"/>
      <c r="P106" s="20"/>
      <c r="Q106" s="27"/>
      <c r="R106" s="32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5"/>
      <c r="AC106" s="145"/>
      <c r="AD106" s="316"/>
      <c r="AE106" s="318"/>
      <c r="AF106" s="318"/>
      <c r="AG106" s="316"/>
      <c r="AH106" s="338"/>
      <c r="AI106" s="128"/>
      <c r="AJ106" s="131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316"/>
      <c r="AX106" s="339"/>
      <c r="AY106" s="131"/>
      <c r="AZ106" s="3"/>
    </row>
    <row r="107" spans="1:52">
      <c r="A107" s="1" t="s">
        <v>108</v>
      </c>
      <c r="B107" s="340">
        <f t="shared" ref="B107:O107" si="64">B40-B105</f>
        <v>-19095.979999999996</v>
      </c>
      <c r="C107" s="340">
        <f t="shared" si="64"/>
        <v>-29692.779999999992</v>
      </c>
      <c r="D107" s="340">
        <f t="shared" si="64"/>
        <v>-16661.910000000003</v>
      </c>
      <c r="E107" s="340">
        <f t="shared" si="64"/>
        <v>-17994.260000000009</v>
      </c>
      <c r="F107" s="340">
        <f t="shared" si="64"/>
        <v>-16419.310000000005</v>
      </c>
      <c r="G107" s="340">
        <f t="shared" si="64"/>
        <v>-13285.02</v>
      </c>
      <c r="H107" s="340">
        <f t="shared" si="64"/>
        <v>23690.400000000001</v>
      </c>
      <c r="I107" s="340">
        <f t="shared" si="64"/>
        <v>-5380.5000000000073</v>
      </c>
      <c r="J107" s="340" t="e">
        <f t="shared" si="64"/>
        <v>#REF!</v>
      </c>
      <c r="K107" s="340">
        <f t="shared" si="64"/>
        <v>-8320.39</v>
      </c>
      <c r="L107" s="340">
        <f t="shared" si="64"/>
        <v>-25711.389999999992</v>
      </c>
      <c r="M107" s="19">
        <f t="shared" si="64"/>
        <v>126803.13999999998</v>
      </c>
      <c r="N107" s="340" t="e">
        <f t="shared" si="64"/>
        <v>#REF!</v>
      </c>
      <c r="O107" s="19">
        <f t="shared" si="64"/>
        <v>-36968.150000000023</v>
      </c>
      <c r="P107" s="19" t="e">
        <f>P40+P105</f>
        <v>#REF!</v>
      </c>
      <c r="Q107" s="27"/>
      <c r="R107" s="341">
        <f t="shared" ref="R107:AE107" si="65">R40-R105</f>
        <v>-12281.5</v>
      </c>
      <c r="S107" s="340">
        <f t="shared" si="65"/>
        <v>-33988.269999999997</v>
      </c>
      <c r="T107" s="340">
        <f t="shared" si="65"/>
        <v>-29693.53</v>
      </c>
      <c r="U107" s="340">
        <f t="shared" si="65"/>
        <v>12381.670000000006</v>
      </c>
      <c r="V107" s="340">
        <f t="shared" si="65"/>
        <v>2976.0799999999945</v>
      </c>
      <c r="W107" s="340">
        <f t="shared" si="65"/>
        <v>-3659.0599999999977</v>
      </c>
      <c r="X107" s="340">
        <f t="shared" si="65"/>
        <v>-12198.209999999992</v>
      </c>
      <c r="Y107" s="340">
        <f t="shared" si="65"/>
        <v>-18451.07</v>
      </c>
      <c r="Z107" s="340">
        <f t="shared" si="65"/>
        <v>-6646.5899999999965</v>
      </c>
      <c r="AA107" s="340">
        <f t="shared" si="65"/>
        <v>-5150.9799999999814</v>
      </c>
      <c r="AB107" s="342">
        <f t="shared" si="65"/>
        <v>-13177.449999999997</v>
      </c>
      <c r="AC107" s="342">
        <f t="shared" si="65"/>
        <v>125478.39000000001</v>
      </c>
      <c r="AD107" s="340">
        <f t="shared" si="65"/>
        <v>5589.4800000002142</v>
      </c>
      <c r="AE107" s="79">
        <f t="shared" si="65"/>
        <v>3088.9300000000512</v>
      </c>
      <c r="AF107" s="79"/>
      <c r="AG107" s="340">
        <f>AD107-AE107</f>
        <v>2500.550000000163</v>
      </c>
      <c r="AH107" s="79">
        <f>AE107-AG107</f>
        <v>588.37999999988824</v>
      </c>
      <c r="AI107" s="139">
        <f t="shared" si="30"/>
        <v>-0.2353002339484713</v>
      </c>
      <c r="AJ107" s="27"/>
      <c r="AK107" s="342">
        <f t="shared" ref="AK107:AW107" si="66">AK40-AK105</f>
        <v>10639.248333333329</v>
      </c>
      <c r="AL107" s="342">
        <f t="shared" si="66"/>
        <v>-34255.07166666667</v>
      </c>
      <c r="AM107" s="342">
        <f t="shared" si="66"/>
        <v>3258.9183333333349</v>
      </c>
      <c r="AN107" s="342">
        <f t="shared" si="66"/>
        <v>5419.7483333333294</v>
      </c>
      <c r="AO107" s="342">
        <f t="shared" si="66"/>
        <v>24647.539999999994</v>
      </c>
      <c r="AP107" s="342">
        <f t="shared" si="66"/>
        <v>9895.0899999999965</v>
      </c>
      <c r="AQ107" s="342">
        <f t="shared" si="66"/>
        <v>11670.330000000002</v>
      </c>
      <c r="AR107" s="342">
        <f t="shared" si="66"/>
        <v>-6725.4833333333372</v>
      </c>
      <c r="AS107" s="342">
        <f t="shared" si="66"/>
        <v>27703.433333333334</v>
      </c>
      <c r="AT107" s="342">
        <f t="shared" si="66"/>
        <v>-585.11333333333459</v>
      </c>
      <c r="AU107" s="342">
        <f t="shared" si="66"/>
        <v>8159.7066666666651</v>
      </c>
      <c r="AV107" s="342">
        <f t="shared" si="66"/>
        <v>102857.96666666665</v>
      </c>
      <c r="AW107" s="340">
        <f t="shared" si="66"/>
        <v>162686.31333333347</v>
      </c>
      <c r="AX107" s="165">
        <f t="shared" si="53"/>
        <v>5589.4800000002142</v>
      </c>
      <c r="AZ107" s="290"/>
    </row>
    <row r="108" spans="1:52">
      <c r="A108" s="4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14"/>
      <c r="N108" s="327"/>
      <c r="O108" s="14"/>
      <c r="P108" s="20"/>
      <c r="Q108" s="27"/>
      <c r="R108" s="328"/>
      <c r="S108" s="327"/>
      <c r="T108" s="327"/>
      <c r="U108" s="327"/>
      <c r="V108" s="327"/>
      <c r="W108" s="327"/>
      <c r="X108" s="327"/>
      <c r="Y108" s="327"/>
      <c r="Z108" s="327"/>
      <c r="AA108" s="327"/>
      <c r="AB108" s="14"/>
      <c r="AC108" s="14"/>
      <c r="AD108" s="329"/>
      <c r="AE108" s="329"/>
      <c r="AF108" s="329"/>
      <c r="AG108" s="327"/>
      <c r="AH108" s="329"/>
      <c r="AI108" s="132"/>
      <c r="AJ108" s="27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327"/>
      <c r="AX108" s="327"/>
      <c r="AZ108" s="290"/>
    </row>
    <row r="109" spans="1:52" s="93" customFormat="1" ht="12">
      <c r="A109" s="9" t="s">
        <v>466</v>
      </c>
      <c r="B109" s="343">
        <v>136870.29999999999</v>
      </c>
      <c r="C109" s="343">
        <f>B111</f>
        <v>117774.31999999999</v>
      </c>
      <c r="D109" s="343">
        <f t="shared" ref="D109:M109" si="67">C111</f>
        <v>88081.540000000008</v>
      </c>
      <c r="E109" s="343">
        <f t="shared" si="67"/>
        <v>71419.63</v>
      </c>
      <c r="F109" s="343">
        <f t="shared" si="67"/>
        <v>53425.369999999995</v>
      </c>
      <c r="G109" s="343">
        <f t="shared" si="67"/>
        <v>37006.05999999999</v>
      </c>
      <c r="H109" s="343">
        <f t="shared" si="67"/>
        <v>23721.03999999999</v>
      </c>
      <c r="I109" s="343">
        <f t="shared" si="67"/>
        <v>47411.439999999988</v>
      </c>
      <c r="J109" s="343">
        <f t="shared" si="67"/>
        <v>42031.47</v>
      </c>
      <c r="K109" s="343" t="e">
        <f t="shared" si="67"/>
        <v>#REF!</v>
      </c>
      <c r="L109" s="343" t="e">
        <f t="shared" si="67"/>
        <v>#REF!</v>
      </c>
      <c r="M109" s="21" t="e">
        <f t="shared" si="67"/>
        <v>#REF!</v>
      </c>
      <c r="N109" s="344"/>
      <c r="O109" s="16"/>
      <c r="P109" s="9"/>
      <c r="Q109" s="27"/>
      <c r="R109" s="345">
        <v>134830.42000000001</v>
      </c>
      <c r="S109" s="343">
        <f>R111</f>
        <v>122548.92000000001</v>
      </c>
      <c r="T109" s="343">
        <f t="shared" ref="T109:AA109" si="68">S111</f>
        <v>88560.650000000023</v>
      </c>
      <c r="U109" s="343">
        <f t="shared" si="68"/>
        <v>58867.120000000024</v>
      </c>
      <c r="V109" s="343">
        <f t="shared" si="68"/>
        <v>71248.790000000037</v>
      </c>
      <c r="W109" s="343">
        <f t="shared" si="68"/>
        <v>74224.870000000024</v>
      </c>
      <c r="X109" s="343">
        <f t="shared" si="68"/>
        <v>70565.810000000027</v>
      </c>
      <c r="Y109" s="343">
        <f t="shared" si="68"/>
        <v>58367.600000000035</v>
      </c>
      <c r="Z109" s="343">
        <f t="shared" si="68"/>
        <v>39916.530000000035</v>
      </c>
      <c r="AA109" s="343">
        <f t="shared" si="68"/>
        <v>33269.940000000039</v>
      </c>
      <c r="AB109" s="346">
        <v>28118.959999999999</v>
      </c>
      <c r="AC109" s="346">
        <v>14941.51</v>
      </c>
      <c r="AD109" s="347"/>
      <c r="AE109" s="347"/>
      <c r="AF109" s="347"/>
      <c r="AG109" s="344"/>
      <c r="AH109" s="347"/>
      <c r="AI109" s="134"/>
      <c r="AJ109" s="131"/>
      <c r="AK109" s="21">
        <f>AC111</f>
        <v>140419.90000000002</v>
      </c>
      <c r="AL109" s="346">
        <f>AK111</f>
        <v>151059.14833333335</v>
      </c>
      <c r="AM109" s="346">
        <f t="shared" ref="AM109:AV109" si="69">AL111</f>
        <v>116804.07666666668</v>
      </c>
      <c r="AN109" s="346">
        <f t="shared" si="69"/>
        <v>120062.99500000001</v>
      </c>
      <c r="AO109" s="346">
        <f t="shared" si="69"/>
        <v>125482.74333333335</v>
      </c>
      <c r="AP109" s="346">
        <f t="shared" si="69"/>
        <v>150130.28333333333</v>
      </c>
      <c r="AQ109" s="346">
        <f t="shared" si="69"/>
        <v>160025.37333333332</v>
      </c>
      <c r="AR109" s="346">
        <f t="shared" si="69"/>
        <v>171695.70333333331</v>
      </c>
      <c r="AS109" s="346">
        <f t="shared" si="69"/>
        <v>164970.21999999997</v>
      </c>
      <c r="AT109" s="346">
        <f t="shared" si="69"/>
        <v>192673.65333333332</v>
      </c>
      <c r="AU109" s="346">
        <f t="shared" si="69"/>
        <v>192088.53999999998</v>
      </c>
      <c r="AV109" s="346">
        <f t="shared" si="69"/>
        <v>200248.24666666664</v>
      </c>
      <c r="AW109" s="344"/>
      <c r="AX109" s="344"/>
      <c r="AY109" s="131"/>
      <c r="AZ109" s="9"/>
    </row>
    <row r="110" spans="1:52">
      <c r="A110" s="10"/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9"/>
      <c r="N110" s="350"/>
      <c r="O110" s="303"/>
      <c r="P110" s="292"/>
      <c r="Q110" s="27"/>
      <c r="R110" s="351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9"/>
      <c r="AC110" s="349"/>
      <c r="AD110" s="352"/>
      <c r="AE110" s="352"/>
      <c r="AF110" s="352"/>
      <c r="AG110" s="350"/>
      <c r="AH110" s="352"/>
      <c r="AI110" s="135"/>
      <c r="AJ110" s="27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50"/>
      <c r="AX110" s="350"/>
      <c r="AZ110" s="290"/>
    </row>
    <row r="111" spans="1:52" s="94" customFormat="1" ht="12">
      <c r="A111" s="9" t="s">
        <v>467</v>
      </c>
      <c r="B111" s="343">
        <f>B109+B107</f>
        <v>117774.31999999999</v>
      </c>
      <c r="C111" s="343">
        <f t="shared" ref="C111:M111" si="70">C107+C109</f>
        <v>88081.540000000008</v>
      </c>
      <c r="D111" s="343">
        <f t="shared" si="70"/>
        <v>71419.63</v>
      </c>
      <c r="E111" s="343">
        <f t="shared" si="70"/>
        <v>53425.369999999995</v>
      </c>
      <c r="F111" s="343">
        <f t="shared" si="70"/>
        <v>37006.05999999999</v>
      </c>
      <c r="G111" s="343">
        <f t="shared" si="70"/>
        <v>23721.03999999999</v>
      </c>
      <c r="H111" s="343">
        <f t="shared" si="70"/>
        <v>47411.439999999988</v>
      </c>
      <c r="I111" s="343">
        <v>42031.47</v>
      </c>
      <c r="J111" s="343" t="e">
        <f t="shared" si="70"/>
        <v>#REF!</v>
      </c>
      <c r="K111" s="343" t="e">
        <f t="shared" si="70"/>
        <v>#REF!</v>
      </c>
      <c r="L111" s="343" t="e">
        <f t="shared" si="70"/>
        <v>#REF!</v>
      </c>
      <c r="M111" s="21" t="e">
        <f t="shared" si="70"/>
        <v>#REF!</v>
      </c>
      <c r="N111" s="353"/>
      <c r="O111" s="18"/>
      <c r="P111" s="9"/>
      <c r="Q111" s="27"/>
      <c r="R111" s="345">
        <f>R107+R109</f>
        <v>122548.92000000001</v>
      </c>
      <c r="S111" s="343">
        <f t="shared" ref="S111:AC111" si="71">S107+S109</f>
        <v>88560.650000000023</v>
      </c>
      <c r="T111" s="343">
        <f t="shared" si="71"/>
        <v>58867.120000000024</v>
      </c>
      <c r="U111" s="343">
        <f t="shared" si="71"/>
        <v>71248.790000000037</v>
      </c>
      <c r="V111" s="343">
        <f t="shared" si="71"/>
        <v>74224.870000000024</v>
      </c>
      <c r="W111" s="343">
        <f t="shared" si="71"/>
        <v>70565.810000000027</v>
      </c>
      <c r="X111" s="343">
        <f t="shared" si="71"/>
        <v>58367.600000000035</v>
      </c>
      <c r="Y111" s="343">
        <f t="shared" si="71"/>
        <v>39916.530000000035</v>
      </c>
      <c r="Z111" s="343">
        <f t="shared" si="71"/>
        <v>33269.940000000039</v>
      </c>
      <c r="AA111" s="343">
        <f t="shared" si="71"/>
        <v>28118.960000000057</v>
      </c>
      <c r="AB111" s="346">
        <f t="shared" si="71"/>
        <v>14941.510000000002</v>
      </c>
      <c r="AC111" s="346">
        <f t="shared" si="71"/>
        <v>140419.90000000002</v>
      </c>
      <c r="AD111" s="354"/>
      <c r="AE111" s="354"/>
      <c r="AF111" s="354"/>
      <c r="AG111" s="353"/>
      <c r="AH111" s="354"/>
      <c r="AI111" s="134"/>
      <c r="AJ111" s="131"/>
      <c r="AK111" s="346">
        <f>AK107+AK109</f>
        <v>151059.14833333335</v>
      </c>
      <c r="AL111" s="346">
        <f t="shared" ref="AL111:AV111" si="72">AL107+AL109</f>
        <v>116804.07666666668</v>
      </c>
      <c r="AM111" s="346">
        <f t="shared" si="72"/>
        <v>120062.99500000001</v>
      </c>
      <c r="AN111" s="346">
        <f t="shared" si="72"/>
        <v>125482.74333333335</v>
      </c>
      <c r="AO111" s="346">
        <f t="shared" si="72"/>
        <v>150130.28333333333</v>
      </c>
      <c r="AP111" s="346">
        <f t="shared" si="72"/>
        <v>160025.37333333332</v>
      </c>
      <c r="AQ111" s="346">
        <f t="shared" si="72"/>
        <v>171695.70333333331</v>
      </c>
      <c r="AR111" s="346">
        <f t="shared" si="72"/>
        <v>164970.21999999997</v>
      </c>
      <c r="AS111" s="346">
        <f t="shared" si="72"/>
        <v>192673.65333333332</v>
      </c>
      <c r="AT111" s="346">
        <f t="shared" si="72"/>
        <v>192088.53999999998</v>
      </c>
      <c r="AU111" s="346">
        <f t="shared" si="72"/>
        <v>200248.24666666664</v>
      </c>
      <c r="AV111" s="346">
        <f t="shared" si="72"/>
        <v>303106.21333333326</v>
      </c>
      <c r="AW111" s="353"/>
      <c r="AX111" s="353"/>
      <c r="AY111" s="131"/>
      <c r="AZ111" s="7"/>
    </row>
    <row r="112" spans="1:52">
      <c r="A112" s="9" t="s">
        <v>468</v>
      </c>
      <c r="B112" s="343"/>
      <c r="C112" s="343"/>
      <c r="D112" s="343"/>
      <c r="E112" s="343"/>
      <c r="F112" s="343"/>
      <c r="G112" s="343"/>
      <c r="H112" s="343"/>
      <c r="I112" s="343">
        <v>29805</v>
      </c>
      <c r="J112" s="343">
        <v>50930.14</v>
      </c>
      <c r="K112" s="343">
        <v>47802.06</v>
      </c>
      <c r="L112" s="343"/>
      <c r="M112" s="355"/>
      <c r="N112" s="291"/>
      <c r="O112" s="290"/>
      <c r="P112" s="292"/>
      <c r="Q112" s="290"/>
      <c r="R112" s="141">
        <v>104978.92</v>
      </c>
      <c r="S112" s="141">
        <f>S109-13400</f>
        <v>109148.92000000001</v>
      </c>
      <c r="T112" s="141">
        <v>90113.13</v>
      </c>
      <c r="U112" s="141">
        <v>79012.679999999993</v>
      </c>
      <c r="V112" s="141">
        <v>75417.990000000005</v>
      </c>
      <c r="W112" s="141">
        <v>61630.25</v>
      </c>
      <c r="X112" s="141">
        <v>81867.16</v>
      </c>
      <c r="Y112" s="141">
        <v>53750.66</v>
      </c>
      <c r="Z112" s="141">
        <v>62908.91</v>
      </c>
      <c r="AA112" s="141">
        <v>51379.91</v>
      </c>
      <c r="AB112" s="140">
        <v>35998.35</v>
      </c>
      <c r="AC112" s="140">
        <v>145532.9</v>
      </c>
      <c r="AD112" s="294"/>
      <c r="AE112" s="294"/>
      <c r="AF112" s="294"/>
      <c r="AG112" s="291"/>
      <c r="AH112" s="294"/>
      <c r="AI112" s="133"/>
      <c r="AJ112" s="27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1"/>
      <c r="AX112" s="291"/>
      <c r="AZ112" s="290"/>
    </row>
    <row r="113" spans="1:43">
      <c r="A113" s="95" t="s">
        <v>469</v>
      </c>
      <c r="B113" s="96">
        <v>132628.54999999999</v>
      </c>
      <c r="C113" s="96">
        <v>106597.74</v>
      </c>
      <c r="D113" s="96">
        <v>84241</v>
      </c>
      <c r="E113" s="96">
        <v>69345</v>
      </c>
      <c r="F113" s="96">
        <v>49851.13</v>
      </c>
      <c r="G113" s="96">
        <v>33028</v>
      </c>
      <c r="H113" s="96">
        <v>56177.64</v>
      </c>
      <c r="I113" s="96">
        <v>56366.93</v>
      </c>
      <c r="J113" s="96">
        <v>52819.23</v>
      </c>
      <c r="K113" s="96">
        <v>47508</v>
      </c>
      <c r="L113" s="96">
        <v>30261</v>
      </c>
      <c r="M113" s="97"/>
      <c r="N113" s="291"/>
      <c r="O113" s="290"/>
      <c r="P113" s="292"/>
      <c r="Q113" s="290"/>
      <c r="R113" s="332"/>
      <c r="S113" s="141">
        <v>108471</v>
      </c>
      <c r="T113" s="141">
        <v>72263</v>
      </c>
      <c r="U113" s="291"/>
      <c r="V113" s="291"/>
      <c r="W113" s="141">
        <v>83551</v>
      </c>
      <c r="X113" s="291"/>
      <c r="Y113" s="291"/>
      <c r="Z113" s="291"/>
      <c r="AA113" s="291"/>
      <c r="AB113" s="290"/>
      <c r="AC113" s="21"/>
      <c r="AD113" s="294"/>
      <c r="AE113" s="294"/>
      <c r="AF113" s="294"/>
      <c r="AG113" s="291"/>
      <c r="AH113" s="294"/>
      <c r="AI113" s="133"/>
      <c r="AJ113" s="27"/>
      <c r="AK113" s="294"/>
      <c r="AL113" s="294"/>
      <c r="AM113" s="294"/>
      <c r="AN113" s="294"/>
      <c r="AO113" s="294"/>
      <c r="AP113" s="294"/>
      <c r="AQ113" s="294"/>
    </row>
    <row r="114" spans="1:43">
      <c r="A114" s="356" t="s">
        <v>470</v>
      </c>
      <c r="B114" s="310"/>
      <c r="C114" s="310"/>
      <c r="D114" s="310"/>
      <c r="E114" s="310"/>
      <c r="F114" s="310"/>
      <c r="G114" s="310"/>
      <c r="H114" s="310"/>
      <c r="I114" s="310"/>
      <c r="J114" s="357"/>
      <c r="K114" s="357"/>
      <c r="L114" s="357"/>
      <c r="M114" s="357"/>
      <c r="N114" s="291"/>
      <c r="O114" s="290"/>
      <c r="P114" s="292"/>
      <c r="Q114" s="290"/>
      <c r="R114" s="358"/>
      <c r="S114" s="357"/>
      <c r="T114" s="357"/>
      <c r="U114" s="357"/>
      <c r="V114" s="357"/>
      <c r="W114" s="357">
        <v>19000</v>
      </c>
      <c r="X114" s="357">
        <v>8000</v>
      </c>
      <c r="Y114" s="357">
        <v>22000</v>
      </c>
      <c r="Z114" s="357">
        <v>7000</v>
      </c>
      <c r="AA114" s="357">
        <v>5000</v>
      </c>
      <c r="AB114" s="357">
        <v>13000</v>
      </c>
      <c r="AC114" s="357"/>
      <c r="AD114" s="301">
        <f>SUM(S114:AB114)</f>
        <v>74000</v>
      </c>
      <c r="AE114" s="301">
        <f>SUM(T114:AC114)</f>
        <v>74000</v>
      </c>
      <c r="AF114" s="301"/>
      <c r="AG114" s="348"/>
      <c r="AH114" s="301"/>
      <c r="AI114" s="136"/>
      <c r="AJ114" s="27"/>
      <c r="AK114" s="290"/>
      <c r="AL114" s="290"/>
      <c r="AM114" s="290"/>
      <c r="AN114" s="290"/>
      <c r="AO114" s="290"/>
      <c r="AP114" s="290"/>
      <c r="AQ114" s="290"/>
    </row>
    <row r="115" spans="1:43">
      <c r="A115" s="356" t="s">
        <v>471</v>
      </c>
      <c r="B115" s="310"/>
      <c r="C115" s="310"/>
      <c r="D115" s="310"/>
      <c r="E115" s="310"/>
      <c r="F115" s="310"/>
      <c r="G115" s="310"/>
      <c r="H115" s="310"/>
      <c r="I115" s="310"/>
      <c r="J115" s="357" t="e">
        <f>J111+J114</f>
        <v>#REF!</v>
      </c>
      <c r="K115" s="357" t="e">
        <f>J115+K114+K107</f>
        <v>#REF!</v>
      </c>
      <c r="L115" s="357" t="e">
        <f>K115+L107+L114</f>
        <v>#REF!</v>
      </c>
      <c r="M115" s="357" t="e">
        <f>L115+M107+M114</f>
        <v>#REF!</v>
      </c>
      <c r="N115" s="291"/>
      <c r="O115" s="290"/>
      <c r="P115" s="292"/>
      <c r="Q115" s="290"/>
      <c r="R115" s="358">
        <v>122548.92</v>
      </c>
      <c r="S115" s="357">
        <f>R115+S107+S114</f>
        <v>88560.65</v>
      </c>
      <c r="T115" s="357">
        <f>S115+T107+T114</f>
        <v>58867.119999999995</v>
      </c>
      <c r="U115" s="357">
        <f>U111</f>
        <v>71248.790000000037</v>
      </c>
      <c r="V115" s="357">
        <f t="shared" ref="V115:AC115" si="73">U115+V107+V114</f>
        <v>74224.870000000024</v>
      </c>
      <c r="W115" s="357">
        <f>V115+W107+W114-28745</f>
        <v>60820.810000000027</v>
      </c>
      <c r="X115" s="357">
        <f t="shared" si="73"/>
        <v>56622.600000000035</v>
      </c>
      <c r="Y115" s="357">
        <f t="shared" si="73"/>
        <v>60171.530000000035</v>
      </c>
      <c r="Z115" s="357">
        <f t="shared" si="73"/>
        <v>60524.940000000039</v>
      </c>
      <c r="AA115" s="357">
        <f t="shared" si="73"/>
        <v>60373.960000000057</v>
      </c>
      <c r="AB115" s="357">
        <f t="shared" si="73"/>
        <v>60196.51000000006</v>
      </c>
      <c r="AC115" s="357">
        <f t="shared" si="73"/>
        <v>185674.90000000008</v>
      </c>
      <c r="AD115" s="294"/>
      <c r="AE115" s="294"/>
      <c r="AF115" s="294"/>
      <c r="AG115" s="291"/>
      <c r="AH115" s="294"/>
      <c r="AI115" s="133"/>
      <c r="AJ115" s="27"/>
      <c r="AK115" s="290"/>
      <c r="AL115" s="290"/>
      <c r="AM115" s="290"/>
      <c r="AN115" s="290"/>
      <c r="AO115" s="290"/>
      <c r="AP115" s="290"/>
      <c r="AQ115" s="290"/>
    </row>
    <row r="117" spans="1:43">
      <c r="A117" s="10"/>
      <c r="B117" s="290"/>
      <c r="C117" s="290"/>
      <c r="D117" s="290"/>
      <c r="E117" s="290"/>
      <c r="F117" s="290"/>
      <c r="G117" s="290"/>
      <c r="H117" s="359"/>
      <c r="I117" s="21"/>
      <c r="J117" s="21"/>
      <c r="K117" s="21"/>
      <c r="L117" s="21"/>
      <c r="M117" s="21"/>
      <c r="N117" s="291"/>
      <c r="O117" s="290"/>
      <c r="P117" s="292"/>
      <c r="Q117" s="290"/>
      <c r="R117" s="293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4"/>
      <c r="AE117" s="294"/>
      <c r="AF117" s="294"/>
      <c r="AG117" s="291"/>
      <c r="AH117" s="294"/>
      <c r="AI117" s="294"/>
      <c r="AJ117" s="290"/>
      <c r="AK117" s="290"/>
      <c r="AL117" s="290"/>
      <c r="AM117" s="290"/>
      <c r="AN117" s="290"/>
      <c r="AO117" s="290"/>
      <c r="AP117" s="290"/>
      <c r="AQ117" s="290"/>
    </row>
    <row r="118" spans="1:43">
      <c r="A118" s="1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1"/>
      <c r="O118" s="290"/>
      <c r="P118" s="292"/>
      <c r="Q118" s="290"/>
      <c r="R118" s="293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1"/>
      <c r="AC118" s="290"/>
      <c r="AD118" s="294"/>
      <c r="AE118" s="294"/>
      <c r="AF118" s="294"/>
      <c r="AG118" s="291"/>
      <c r="AH118" s="294"/>
      <c r="AI118" s="294"/>
      <c r="AJ118" s="290"/>
      <c r="AK118" s="290"/>
      <c r="AL118" s="290"/>
      <c r="AM118" s="290"/>
      <c r="AN118" s="290"/>
      <c r="AO118" s="290"/>
      <c r="AP118" s="290"/>
      <c r="AQ118" s="290"/>
    </row>
    <row r="122" spans="1:43">
      <c r="A122" s="10"/>
      <c r="B122" s="290"/>
      <c r="C122" s="290"/>
      <c r="D122" s="290"/>
      <c r="E122" s="290"/>
      <c r="F122" s="290"/>
      <c r="G122" s="290"/>
      <c r="H122" s="290"/>
      <c r="I122" s="360"/>
      <c r="J122" s="360"/>
      <c r="K122" s="290"/>
      <c r="L122" s="290"/>
      <c r="M122" s="290"/>
      <c r="N122" s="291"/>
      <c r="O122" s="290"/>
      <c r="P122" s="292"/>
      <c r="Q122" s="290"/>
      <c r="R122" s="293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4"/>
      <c r="AE122" s="294"/>
      <c r="AF122" s="294"/>
      <c r="AG122" s="291"/>
      <c r="AH122" s="294"/>
      <c r="AI122" s="294"/>
      <c r="AJ122" s="290"/>
      <c r="AK122" s="290"/>
      <c r="AL122" s="290"/>
      <c r="AM122" s="290"/>
      <c r="AN122" s="290"/>
      <c r="AO122" s="290"/>
      <c r="AP122" s="290"/>
      <c r="AQ122" s="290"/>
    </row>
  </sheetData>
  <mergeCells count="5">
    <mergeCell ref="A1:N1"/>
    <mergeCell ref="R1:AJ1"/>
    <mergeCell ref="A2:N2"/>
    <mergeCell ref="R2:AJ2"/>
    <mergeCell ref="A3:N3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66D5-BF0F-B742-BC3C-CA87BBA7E2A6}">
  <dimension ref="A1:AC153"/>
  <sheetViews>
    <sheetView zoomScale="162" zoomScaleNormal="162" zoomScalePageLayoutView="150" workbookViewId="0">
      <pane xSplit="1" ySplit="3" topLeftCell="B48" activePane="bottomRight" state="frozen"/>
      <selection pane="topRight" activeCell="AW1" sqref="AW1"/>
      <selection pane="bottomLeft" activeCell="A4" sqref="A4"/>
      <selection pane="bottomRight" activeCell="F38" sqref="F38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121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2.33203125" style="394" customWidth="1"/>
    <col min="19" max="19" width="8.83203125" style="489"/>
    <col min="20" max="16384" width="8.83203125" style="121"/>
  </cols>
  <sheetData>
    <row r="1" spans="1:19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294"/>
      <c r="S1" s="476"/>
    </row>
    <row r="2" spans="1:19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297"/>
      <c r="S2" s="476"/>
    </row>
    <row r="3" spans="1:19" s="436" customFormat="1" ht="1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435">
        <v>44531</v>
      </c>
      <c r="N3" s="430" t="s">
        <v>112</v>
      </c>
      <c r="O3" s="431" t="s">
        <v>113</v>
      </c>
      <c r="P3" s="432" t="s">
        <v>114</v>
      </c>
      <c r="Q3" s="432" t="s">
        <v>115</v>
      </c>
      <c r="R3" s="433" t="s">
        <v>116</v>
      </c>
      <c r="S3" s="490" t="s">
        <v>117</v>
      </c>
    </row>
    <row r="4" spans="1:19" s="267" customFormat="1" ht="13">
      <c r="A4" s="419" t="s">
        <v>9</v>
      </c>
      <c r="B4" s="41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387"/>
      <c r="N4" s="396"/>
      <c r="O4" s="397"/>
      <c r="P4" s="133"/>
      <c r="Q4" s="133"/>
      <c r="R4" s="394"/>
      <c r="S4" s="477"/>
    </row>
    <row r="5" spans="1:19" s="267" customFormat="1" ht="13">
      <c r="A5" s="419" t="s">
        <v>10</v>
      </c>
      <c r="B5" s="27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379"/>
      <c r="N5" s="396"/>
      <c r="O5" s="397"/>
      <c r="P5" s="271"/>
      <c r="Q5" s="133"/>
      <c r="R5" s="394"/>
      <c r="S5" s="477"/>
    </row>
    <row r="6" spans="1:19" s="267" customFormat="1" ht="13">
      <c r="A6" s="420" t="s">
        <v>11</v>
      </c>
      <c r="B6" s="278">
        <f>0</f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379">
        <f>0</f>
        <v>0</v>
      </c>
      <c r="N6" s="396">
        <f t="shared" ref="N6:N11" si="0">SUM(B6:M6)</f>
        <v>0</v>
      </c>
      <c r="O6" s="397">
        <v>0</v>
      </c>
      <c r="P6" s="271">
        <v>0</v>
      </c>
      <c r="Q6" s="274">
        <f>N6-P6</f>
        <v>0</v>
      </c>
      <c r="R6" s="398">
        <f>O6-N6</f>
        <v>0</v>
      </c>
      <c r="S6" s="477"/>
    </row>
    <row r="7" spans="1:19" s="267" customFormat="1" ht="13">
      <c r="A7" s="420" t="s">
        <v>118</v>
      </c>
      <c r="B7" s="278">
        <v>600</v>
      </c>
      <c r="C7" s="278">
        <v>600</v>
      </c>
      <c r="D7" s="278">
        <v>600</v>
      </c>
      <c r="E7" s="278">
        <v>600</v>
      </c>
      <c r="F7" s="271">
        <v>10000</v>
      </c>
      <c r="G7" s="271">
        <v>11200</v>
      </c>
      <c r="H7" s="271">
        <v>600</v>
      </c>
      <c r="I7" s="271">
        <v>600</v>
      </c>
      <c r="J7" s="271">
        <v>1100</v>
      </c>
      <c r="K7" s="271">
        <v>600</v>
      </c>
      <c r="L7" s="271">
        <v>10000</v>
      </c>
      <c r="M7" s="379">
        <v>10000</v>
      </c>
      <c r="N7" s="396">
        <f t="shared" si="0"/>
        <v>46500</v>
      </c>
      <c r="O7" s="397">
        <v>46500</v>
      </c>
      <c r="P7" s="271"/>
      <c r="Q7" s="274">
        <f t="shared" ref="Q7:Q23" si="1">N7-P7</f>
        <v>46500</v>
      </c>
      <c r="R7" s="398">
        <f>O7-N7</f>
        <v>0</v>
      </c>
      <c r="S7" s="477"/>
    </row>
    <row r="8" spans="1:19" s="267" customFormat="1" ht="13">
      <c r="A8" s="420" t="s">
        <v>13</v>
      </c>
      <c r="B8" s="278">
        <v>0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379">
        <v>0</v>
      </c>
      <c r="N8" s="396">
        <f t="shared" si="0"/>
        <v>0</v>
      </c>
      <c r="O8" s="397">
        <v>0</v>
      </c>
      <c r="P8" s="271">
        <v>5000</v>
      </c>
      <c r="Q8" s="274">
        <f t="shared" si="1"/>
        <v>-5000</v>
      </c>
      <c r="R8" s="398">
        <f t="shared" ref="R8:R79" si="2">O8-N8</f>
        <v>0</v>
      </c>
      <c r="S8" s="477"/>
    </row>
    <row r="9" spans="1:19" s="267" customFormat="1" ht="39">
      <c r="A9" s="421" t="s">
        <v>119</v>
      </c>
      <c r="B9" s="278">
        <v>6250</v>
      </c>
      <c r="C9" s="271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379">
        <v>3750</v>
      </c>
      <c r="N9" s="396">
        <f t="shared" si="0"/>
        <v>40000</v>
      </c>
      <c r="O9" s="399">
        <v>40000</v>
      </c>
      <c r="P9" s="271">
        <v>77000</v>
      </c>
      <c r="Q9" s="274">
        <f t="shared" si="1"/>
        <v>-37000</v>
      </c>
      <c r="R9" s="398">
        <f t="shared" si="2"/>
        <v>0</v>
      </c>
      <c r="S9" s="477" t="s">
        <v>120</v>
      </c>
    </row>
    <row r="10" spans="1:19" s="267" customFormat="1" ht="15" customHeight="1">
      <c r="A10" s="420" t="s">
        <v>121</v>
      </c>
      <c r="B10" s="278">
        <v>10000</v>
      </c>
      <c r="C10" s="271">
        <v>4700</v>
      </c>
      <c r="D10" s="271">
        <v>4400</v>
      </c>
      <c r="E10" s="271">
        <v>6600</v>
      </c>
      <c r="F10" s="271">
        <v>8700</v>
      </c>
      <c r="G10" s="271">
        <v>7900</v>
      </c>
      <c r="H10" s="271">
        <v>5500</v>
      </c>
      <c r="I10" s="271">
        <v>35000</v>
      </c>
      <c r="J10" s="271">
        <v>3800</v>
      </c>
      <c r="K10" s="271">
        <v>100000</v>
      </c>
      <c r="L10" s="271">
        <v>15000</v>
      </c>
      <c r="M10" s="379">
        <v>35000</v>
      </c>
      <c r="N10" s="396">
        <f t="shared" si="0"/>
        <v>236600</v>
      </c>
      <c r="O10" s="397">
        <v>236600</v>
      </c>
      <c r="P10" s="271">
        <v>697365.77</v>
      </c>
      <c r="Q10" s="274">
        <f t="shared" si="1"/>
        <v>-460765.77</v>
      </c>
      <c r="R10" s="398">
        <f t="shared" si="2"/>
        <v>0</v>
      </c>
      <c r="S10" s="477"/>
    </row>
    <row r="11" spans="1:19" s="267" customFormat="1" ht="13">
      <c r="A11" s="419" t="s">
        <v>19</v>
      </c>
      <c r="B11" s="276">
        <f t="shared" ref="B11:M11" si="3">SUM(B6:B10)</f>
        <v>16850</v>
      </c>
      <c r="C11" s="276">
        <f t="shared" si="3"/>
        <v>6550</v>
      </c>
      <c r="D11" s="276">
        <f t="shared" si="3"/>
        <v>7500</v>
      </c>
      <c r="E11" s="276">
        <f t="shared" si="3"/>
        <v>8450</v>
      </c>
      <c r="F11" s="276">
        <f t="shared" si="3"/>
        <v>19950</v>
      </c>
      <c r="G11" s="276">
        <f t="shared" si="3"/>
        <v>26600</v>
      </c>
      <c r="H11" s="276">
        <f t="shared" si="3"/>
        <v>7350</v>
      </c>
      <c r="I11" s="276">
        <f t="shared" si="3"/>
        <v>36850</v>
      </c>
      <c r="J11" s="276">
        <f t="shared" si="3"/>
        <v>16150</v>
      </c>
      <c r="K11" s="276">
        <f t="shared" si="3"/>
        <v>101850</v>
      </c>
      <c r="L11" s="276">
        <f t="shared" si="3"/>
        <v>26250</v>
      </c>
      <c r="M11" s="380">
        <f t="shared" si="3"/>
        <v>48750</v>
      </c>
      <c r="N11" s="439">
        <f t="shared" si="0"/>
        <v>323100</v>
      </c>
      <c r="O11" s="440">
        <f>SUM(O6:O10)</f>
        <v>323100</v>
      </c>
      <c r="P11" s="276">
        <v>779365.77</v>
      </c>
      <c r="Q11" s="275">
        <f t="shared" si="1"/>
        <v>-456265.77</v>
      </c>
      <c r="R11" s="441">
        <f t="shared" si="2"/>
        <v>0</v>
      </c>
      <c r="S11" s="477"/>
    </row>
    <row r="12" spans="1:19" s="267" customFormat="1" ht="6" customHeight="1">
      <c r="A12" s="420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384"/>
      <c r="N12" s="396"/>
      <c r="O12" s="397"/>
      <c r="P12" s="133"/>
      <c r="Q12" s="274"/>
      <c r="R12" s="398"/>
      <c r="S12" s="477"/>
    </row>
    <row r="13" spans="1:19" s="267" customFormat="1" ht="13">
      <c r="A13" s="419" t="s">
        <v>122</v>
      </c>
      <c r="B13" s="278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379"/>
      <c r="N13" s="396"/>
      <c r="O13" s="397"/>
      <c r="P13" s="271"/>
      <c r="Q13" s="274"/>
      <c r="R13" s="398"/>
      <c r="S13" s="477"/>
    </row>
    <row r="14" spans="1:19" s="267" customFormat="1" ht="65">
      <c r="A14" s="420" t="s">
        <v>21</v>
      </c>
      <c r="B14" s="278">
        <v>0</v>
      </c>
      <c r="C14" s="271">
        <v>0</v>
      </c>
      <c r="D14" s="271">
        <v>0</v>
      </c>
      <c r="E14" s="271">
        <v>0</v>
      </c>
      <c r="F14" s="271">
        <v>17000</v>
      </c>
      <c r="G14" s="271">
        <v>17000</v>
      </c>
      <c r="H14" s="271">
        <v>17000</v>
      </c>
      <c r="I14" s="271">
        <v>17000</v>
      </c>
      <c r="J14" s="271">
        <v>17000</v>
      </c>
      <c r="K14" s="271">
        <v>17000</v>
      </c>
      <c r="L14" s="271">
        <v>0</v>
      </c>
      <c r="M14" s="379">
        <f>0</f>
        <v>0</v>
      </c>
      <c r="N14" s="396">
        <f>SUM(B14:M14)</f>
        <v>102000</v>
      </c>
      <c r="O14" s="397">
        <v>0</v>
      </c>
      <c r="P14" s="271"/>
      <c r="Q14" s="274"/>
      <c r="R14" s="398">
        <f>+O14-N14</f>
        <v>-102000</v>
      </c>
      <c r="S14" s="477" t="s">
        <v>123</v>
      </c>
    </row>
    <row r="15" spans="1:19" s="267" customFormat="1" ht="13">
      <c r="A15" s="419" t="s">
        <v>124</v>
      </c>
      <c r="B15" s="278">
        <v>0</v>
      </c>
      <c r="C15" s="271">
        <f>0</f>
        <v>0</v>
      </c>
      <c r="D15" s="271">
        <v>0</v>
      </c>
      <c r="E15" s="271">
        <v>0</v>
      </c>
      <c r="F15" s="271">
        <v>10000</v>
      </c>
      <c r="G15" s="271">
        <f>0</f>
        <v>0</v>
      </c>
      <c r="H15" s="271">
        <v>10000</v>
      </c>
      <c r="I15" s="271">
        <f>0</f>
        <v>0</v>
      </c>
      <c r="J15" s="271">
        <v>10000</v>
      </c>
      <c r="K15" s="271">
        <f>0</f>
        <v>0</v>
      </c>
      <c r="L15" s="271">
        <f>0</f>
        <v>0</v>
      </c>
      <c r="M15" s="379">
        <f>0</f>
        <v>0</v>
      </c>
      <c r="N15" s="396">
        <f>SUM(B15:M15)</f>
        <v>30000</v>
      </c>
      <c r="O15" s="397">
        <v>0</v>
      </c>
      <c r="P15" s="271"/>
      <c r="Q15" s="274"/>
      <c r="R15" s="398">
        <f>O15-N15</f>
        <v>-30000</v>
      </c>
      <c r="S15" s="477"/>
    </row>
    <row r="16" spans="1:19" s="267" customFormat="1" ht="13">
      <c r="A16" s="420" t="s">
        <v>25</v>
      </c>
      <c r="B16" s="278">
        <v>0</v>
      </c>
      <c r="C16" s="271">
        <f>0</f>
        <v>0</v>
      </c>
      <c r="D16" s="271">
        <f>0</f>
        <v>0</v>
      </c>
      <c r="E16" s="271">
        <f>0</f>
        <v>0</v>
      </c>
      <c r="F16" s="271">
        <f>0</f>
        <v>0</v>
      </c>
      <c r="G16" s="278">
        <f>0</f>
        <v>0</v>
      </c>
      <c r="H16" s="271">
        <f>0</f>
        <v>0</v>
      </c>
      <c r="I16" s="271">
        <f>0</f>
        <v>0</v>
      </c>
      <c r="J16" s="271">
        <f>0</f>
        <v>0</v>
      </c>
      <c r="K16" s="271">
        <f>0</f>
        <v>0</v>
      </c>
      <c r="L16" s="271">
        <f>0</f>
        <v>0</v>
      </c>
      <c r="M16" s="379">
        <f>0</f>
        <v>0</v>
      </c>
      <c r="N16" s="396">
        <f>SUM(B16:M16)</f>
        <v>0</v>
      </c>
      <c r="O16" s="397">
        <v>0</v>
      </c>
      <c r="P16" s="271"/>
      <c r="Q16" s="274"/>
      <c r="R16" s="398">
        <f>O16-N16</f>
        <v>0</v>
      </c>
      <c r="S16" s="477"/>
    </row>
    <row r="17" spans="1:19" s="368" customFormat="1" ht="13">
      <c r="A17" s="419" t="s">
        <v>125</v>
      </c>
      <c r="B17" s="276">
        <f>SUM(B14:B16)</f>
        <v>0</v>
      </c>
      <c r="C17" s="276">
        <f t="shared" ref="C17:M17" si="4">SUM(C14:C16)</f>
        <v>0</v>
      </c>
      <c r="D17" s="276">
        <f t="shared" si="4"/>
        <v>0</v>
      </c>
      <c r="E17" s="276">
        <f t="shared" si="4"/>
        <v>0</v>
      </c>
      <c r="F17" s="276">
        <f t="shared" si="4"/>
        <v>27000</v>
      </c>
      <c r="G17" s="276">
        <f t="shared" si="4"/>
        <v>17000</v>
      </c>
      <c r="H17" s="276">
        <f t="shared" si="4"/>
        <v>27000</v>
      </c>
      <c r="I17" s="276">
        <f t="shared" si="4"/>
        <v>17000</v>
      </c>
      <c r="J17" s="276">
        <f t="shared" si="4"/>
        <v>27000</v>
      </c>
      <c r="K17" s="276">
        <f t="shared" si="4"/>
        <v>17000</v>
      </c>
      <c r="L17" s="276">
        <f t="shared" si="4"/>
        <v>0</v>
      </c>
      <c r="M17" s="380">
        <f t="shared" si="4"/>
        <v>0</v>
      </c>
      <c r="N17" s="439">
        <f>SUM(B17:M17)</f>
        <v>132000</v>
      </c>
      <c r="O17" s="440">
        <f>SUM(O14:O16)</f>
        <v>0</v>
      </c>
      <c r="P17" s="276"/>
      <c r="Q17" s="276"/>
      <c r="R17" s="441">
        <f>O17-N17</f>
        <v>-132000</v>
      </c>
      <c r="S17" s="478"/>
    </row>
    <row r="18" spans="1:19" s="267" customFormat="1" ht="6" customHeight="1">
      <c r="A18" s="420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384"/>
      <c r="N18" s="396"/>
      <c r="O18" s="397"/>
      <c r="P18" s="272"/>
      <c r="Q18" s="274"/>
      <c r="R18" s="398"/>
      <c r="S18" s="477"/>
    </row>
    <row r="19" spans="1:19" s="267" customFormat="1" ht="13">
      <c r="A19" s="419" t="s">
        <v>27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379"/>
      <c r="N19" s="396"/>
      <c r="O19" s="397"/>
      <c r="P19" s="271"/>
      <c r="Q19" s="274"/>
      <c r="R19" s="398"/>
      <c r="S19" s="477"/>
    </row>
    <row r="20" spans="1:19" s="267" customFormat="1" ht="13">
      <c r="A20" s="420" t="s">
        <v>126</v>
      </c>
      <c r="B20" s="278">
        <f>0</f>
        <v>0</v>
      </c>
      <c r="C20" s="271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379">
        <f>0</f>
        <v>0</v>
      </c>
      <c r="N20" s="396">
        <f>SUM(B20:M20)</f>
        <v>0</v>
      </c>
      <c r="O20" s="397">
        <v>0</v>
      </c>
      <c r="P20" s="271">
        <v>-651.64999999999986</v>
      </c>
      <c r="Q20" s="274">
        <f t="shared" si="1"/>
        <v>651.64999999999986</v>
      </c>
      <c r="R20" s="398">
        <f t="shared" si="2"/>
        <v>0</v>
      </c>
      <c r="S20" s="477"/>
    </row>
    <row r="21" spans="1:19" s="267" customFormat="1" ht="13">
      <c r="A21" s="420" t="s">
        <v>127</v>
      </c>
      <c r="B21" s="286">
        <v>350</v>
      </c>
      <c r="C21" s="286">
        <v>350</v>
      </c>
      <c r="D21" s="286">
        <v>350</v>
      </c>
      <c r="E21" s="286">
        <v>350</v>
      </c>
      <c r="F21" s="286">
        <v>350</v>
      </c>
      <c r="G21" s="286">
        <v>350</v>
      </c>
      <c r="H21" s="286">
        <v>350</v>
      </c>
      <c r="I21" s="286">
        <v>350</v>
      </c>
      <c r="J21" s="286">
        <v>350</v>
      </c>
      <c r="K21" s="286">
        <v>350</v>
      </c>
      <c r="L21" s="286">
        <v>350</v>
      </c>
      <c r="M21" s="378">
        <v>350</v>
      </c>
      <c r="N21" s="396">
        <f>SUM(B21:M21)</f>
        <v>4200</v>
      </c>
      <c r="O21" s="397">
        <v>4200</v>
      </c>
      <c r="P21" s="274"/>
      <c r="Q21" s="274">
        <f t="shared" si="1"/>
        <v>4200</v>
      </c>
      <c r="R21" s="398">
        <f t="shared" si="2"/>
        <v>0</v>
      </c>
      <c r="S21" s="477"/>
    </row>
    <row r="22" spans="1:19" s="267" customFormat="1" ht="13">
      <c r="A22" s="420" t="s">
        <v>128</v>
      </c>
      <c r="B22" s="278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385"/>
      <c r="N22" s="396">
        <f>SUM(B22:M22)</f>
        <v>0</v>
      </c>
      <c r="O22" s="397">
        <v>0</v>
      </c>
      <c r="P22" s="274"/>
      <c r="Q22" s="274">
        <f t="shared" si="1"/>
        <v>0</v>
      </c>
      <c r="R22" s="398">
        <f t="shared" si="2"/>
        <v>0</v>
      </c>
      <c r="S22" s="477"/>
    </row>
    <row r="23" spans="1:19" s="267" customFormat="1" ht="13">
      <c r="A23" s="422" t="s">
        <v>29</v>
      </c>
      <c r="B23" s="276">
        <f>SUM(B19:B22)</f>
        <v>350</v>
      </c>
      <c r="C23" s="276">
        <f>SUM(C20:C22)</f>
        <v>350</v>
      </c>
      <c r="D23" s="276">
        <f t="shared" ref="D23:M23" si="5">SUM(D20:D22)</f>
        <v>350</v>
      </c>
      <c r="E23" s="276">
        <f t="shared" si="5"/>
        <v>350</v>
      </c>
      <c r="F23" s="276">
        <f t="shared" si="5"/>
        <v>350</v>
      </c>
      <c r="G23" s="276">
        <f t="shared" si="5"/>
        <v>350</v>
      </c>
      <c r="H23" s="276">
        <f>SUM(H19:H22)</f>
        <v>350</v>
      </c>
      <c r="I23" s="276">
        <f t="shared" si="5"/>
        <v>350</v>
      </c>
      <c r="J23" s="276">
        <f t="shared" si="5"/>
        <v>350</v>
      </c>
      <c r="K23" s="276">
        <f t="shared" si="5"/>
        <v>350</v>
      </c>
      <c r="L23" s="276">
        <f t="shared" si="5"/>
        <v>350</v>
      </c>
      <c r="M23" s="380">
        <f t="shared" si="5"/>
        <v>350</v>
      </c>
      <c r="N23" s="439">
        <f>SUM(B23:M23)</f>
        <v>4200</v>
      </c>
      <c r="O23" s="440">
        <f>SUM(O20:O22)</f>
        <v>4200</v>
      </c>
      <c r="P23" s="276">
        <v>-651.64999999999986</v>
      </c>
      <c r="Q23" s="276">
        <f t="shared" si="1"/>
        <v>4851.6499999999996</v>
      </c>
      <c r="R23" s="441">
        <f t="shared" si="2"/>
        <v>0</v>
      </c>
      <c r="S23" s="477"/>
    </row>
    <row r="24" spans="1:19" s="267" customFormat="1" ht="6" customHeight="1">
      <c r="A24" s="420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384"/>
      <c r="N24" s="396"/>
      <c r="O24" s="397"/>
      <c r="P24" s="133"/>
      <c r="Q24" s="133"/>
      <c r="R24" s="398"/>
      <c r="S24" s="477"/>
    </row>
    <row r="25" spans="1:19" s="267" customFormat="1" ht="13">
      <c r="A25" s="419" t="s">
        <v>30</v>
      </c>
      <c r="B25" s="278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379"/>
      <c r="N25" s="396"/>
      <c r="O25" s="397"/>
      <c r="P25" s="133"/>
      <c r="Q25" s="133"/>
      <c r="R25" s="398"/>
      <c r="S25" s="477"/>
    </row>
    <row r="26" spans="1:19" s="267" customFormat="1" ht="13">
      <c r="A26" s="420" t="s">
        <v>31</v>
      </c>
      <c r="B26" s="278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379">
        <v>0</v>
      </c>
      <c r="N26" s="396">
        <f t="shared" ref="N26:N44" si="6">SUM(B26:M26)</f>
        <v>0</v>
      </c>
      <c r="O26" s="397">
        <v>0</v>
      </c>
      <c r="P26" s="271">
        <v>6.1899999999999995</v>
      </c>
      <c r="Q26" s="274">
        <f>N26-P26</f>
        <v>-6.1899999999999995</v>
      </c>
      <c r="R26" s="398">
        <f t="shared" si="2"/>
        <v>0</v>
      </c>
      <c r="S26" s="477"/>
    </row>
    <row r="27" spans="1:19" s="267" customFormat="1" ht="13">
      <c r="A27" s="420" t="s">
        <v>129</v>
      </c>
      <c r="B27" s="278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379">
        <v>0</v>
      </c>
      <c r="N27" s="396">
        <f t="shared" si="6"/>
        <v>0</v>
      </c>
      <c r="O27" s="397">
        <v>0</v>
      </c>
      <c r="P27" s="271">
        <v>288.74999999999994</v>
      </c>
      <c r="Q27" s="274">
        <f t="shared" ref="Q27:Q44" si="7">N27-P27</f>
        <v>-288.74999999999994</v>
      </c>
      <c r="R27" s="398">
        <f t="shared" si="2"/>
        <v>0</v>
      </c>
      <c r="S27" s="477"/>
    </row>
    <row r="28" spans="1:19" s="267" customFormat="1" ht="13">
      <c r="A28" s="420" t="s">
        <v>130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379">
        <v>0</v>
      </c>
      <c r="N28" s="396">
        <f t="shared" si="6"/>
        <v>0</v>
      </c>
      <c r="O28" s="397">
        <v>0</v>
      </c>
      <c r="P28" s="271"/>
      <c r="Q28" s="274">
        <f t="shared" si="7"/>
        <v>0</v>
      </c>
      <c r="R28" s="398">
        <f t="shared" si="2"/>
        <v>0</v>
      </c>
      <c r="S28" s="477"/>
    </row>
    <row r="29" spans="1:19" s="267" customFormat="1" ht="13" hidden="1">
      <c r="A29" s="420" t="s">
        <v>131</v>
      </c>
      <c r="B29" s="278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379"/>
      <c r="N29" s="396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398">
        <f t="shared" si="2"/>
        <v>0</v>
      </c>
      <c r="S29" s="477"/>
    </row>
    <row r="30" spans="1:19" s="267" customFormat="1" ht="13" hidden="1">
      <c r="A30" s="420" t="s">
        <v>132</v>
      </c>
      <c r="B30" s="278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379"/>
      <c r="N30" s="396">
        <f t="shared" si="6"/>
        <v>0</v>
      </c>
      <c r="O30" s="397">
        <v>0</v>
      </c>
      <c r="P30" s="271">
        <v>0</v>
      </c>
      <c r="Q30" s="274">
        <f t="shared" si="7"/>
        <v>0</v>
      </c>
      <c r="R30" s="398">
        <f t="shared" si="2"/>
        <v>0</v>
      </c>
      <c r="S30" s="477"/>
    </row>
    <row r="31" spans="1:19" s="267" customFormat="1" ht="13" hidden="1">
      <c r="A31" s="420" t="s">
        <v>133</v>
      </c>
      <c r="B31" s="278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379"/>
      <c r="N31" s="396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398">
        <f t="shared" si="2"/>
        <v>0</v>
      </c>
      <c r="S31" s="477"/>
    </row>
    <row r="32" spans="1:19" s="267" customFormat="1" ht="13">
      <c r="A32" s="420" t="s">
        <v>39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379"/>
      <c r="N32" s="396"/>
      <c r="O32" s="397"/>
      <c r="P32" s="271">
        <v>99794.28</v>
      </c>
      <c r="Q32" s="274">
        <f t="shared" si="7"/>
        <v>-99794.28</v>
      </c>
      <c r="R32" s="398">
        <f>O32-N32</f>
        <v>0</v>
      </c>
      <c r="S32" s="477"/>
    </row>
    <row r="33" spans="1:22" s="267" customFormat="1" ht="13">
      <c r="A33" s="420" t="s">
        <v>134</v>
      </c>
      <c r="B33" s="278">
        <v>1000</v>
      </c>
      <c r="C33" s="278">
        <v>1000</v>
      </c>
      <c r="D33" s="278">
        <v>1000</v>
      </c>
      <c r="E33" s="278">
        <v>1000</v>
      </c>
      <c r="F33" s="278">
        <v>1000</v>
      </c>
      <c r="G33" s="278">
        <v>1000</v>
      </c>
      <c r="H33" s="278">
        <v>1000</v>
      </c>
      <c r="I33" s="278">
        <v>1000</v>
      </c>
      <c r="J33" s="278">
        <v>1000</v>
      </c>
      <c r="K33" s="278">
        <v>1000</v>
      </c>
      <c r="L33" s="278">
        <v>1000</v>
      </c>
      <c r="M33" s="379">
        <v>1000</v>
      </c>
      <c r="N33" s="396">
        <f t="shared" ref="N33:N38" si="8">SUM(B33:M33)</f>
        <v>12000</v>
      </c>
      <c r="O33" s="397">
        <v>12000</v>
      </c>
      <c r="P33" s="271"/>
      <c r="Q33" s="274"/>
      <c r="R33" s="398">
        <f t="shared" si="2"/>
        <v>0</v>
      </c>
      <c r="S33" s="477"/>
    </row>
    <row r="34" spans="1:22" s="267" customFormat="1" ht="13">
      <c r="A34" s="420" t="s">
        <v>135</v>
      </c>
      <c r="B34" s="278">
        <v>2100</v>
      </c>
      <c r="C34" s="278">
        <v>2100</v>
      </c>
      <c r="D34" s="278">
        <v>2100</v>
      </c>
      <c r="E34" s="278">
        <v>2100</v>
      </c>
      <c r="F34" s="278">
        <v>2100</v>
      </c>
      <c r="G34" s="278">
        <v>2100</v>
      </c>
      <c r="H34" s="278">
        <v>2100</v>
      </c>
      <c r="I34" s="278">
        <v>2100</v>
      </c>
      <c r="J34" s="278">
        <v>2100</v>
      </c>
      <c r="K34" s="278">
        <v>2100</v>
      </c>
      <c r="L34" s="278">
        <v>2100</v>
      </c>
      <c r="M34" s="379">
        <v>2100</v>
      </c>
      <c r="N34" s="396">
        <f t="shared" si="8"/>
        <v>25200</v>
      </c>
      <c r="O34" s="397">
        <v>25200</v>
      </c>
      <c r="P34" s="271"/>
      <c r="Q34" s="274"/>
      <c r="R34" s="398">
        <f t="shared" si="2"/>
        <v>0</v>
      </c>
      <c r="S34" s="477"/>
    </row>
    <row r="35" spans="1:22" s="267" customFormat="1" ht="13">
      <c r="A35" s="420" t="s">
        <v>136</v>
      </c>
      <c r="B35" s="278">
        <v>87000</v>
      </c>
      <c r="C35" s="271">
        <v>92000</v>
      </c>
      <c r="D35" s="271">
        <v>96000</v>
      </c>
      <c r="E35" s="271">
        <v>101000</v>
      </c>
      <c r="F35" s="271">
        <v>111000</v>
      </c>
      <c r="G35" s="271">
        <v>122000</v>
      </c>
      <c r="H35" s="271">
        <v>135000</v>
      </c>
      <c r="I35" s="271">
        <v>148000</v>
      </c>
      <c r="J35" s="271">
        <v>163000</v>
      </c>
      <c r="K35" s="271">
        <v>187000</v>
      </c>
      <c r="L35" s="271">
        <v>216000</v>
      </c>
      <c r="M35" s="379">
        <v>248000</v>
      </c>
      <c r="N35" s="396">
        <f t="shared" si="8"/>
        <v>1706000</v>
      </c>
      <c r="O35" s="397">
        <v>1706000</v>
      </c>
      <c r="P35" s="271"/>
      <c r="Q35" s="274"/>
      <c r="R35" s="398">
        <f t="shared" si="2"/>
        <v>0</v>
      </c>
      <c r="S35" s="477"/>
    </row>
    <row r="36" spans="1:22" s="267" customFormat="1" ht="13">
      <c r="A36" s="420" t="s">
        <v>137</v>
      </c>
      <c r="B36" s="278">
        <v>12600</v>
      </c>
      <c r="C36" s="278">
        <v>12600</v>
      </c>
      <c r="D36" s="278">
        <v>12600</v>
      </c>
      <c r="E36" s="278">
        <v>12600</v>
      </c>
      <c r="F36" s="278">
        <v>12600</v>
      </c>
      <c r="G36" s="278">
        <v>12600</v>
      </c>
      <c r="H36" s="278">
        <v>12600</v>
      </c>
      <c r="I36" s="278">
        <v>12600</v>
      </c>
      <c r="J36" s="278">
        <v>12600</v>
      </c>
      <c r="K36" s="278">
        <v>12600</v>
      </c>
      <c r="L36" s="278">
        <v>12600</v>
      </c>
      <c r="M36" s="379">
        <v>12600</v>
      </c>
      <c r="N36" s="396">
        <f t="shared" si="8"/>
        <v>151200</v>
      </c>
      <c r="O36" s="397">
        <v>151200</v>
      </c>
      <c r="P36" s="271">
        <v>15873</v>
      </c>
      <c r="Q36" s="274">
        <f t="shared" si="7"/>
        <v>135327</v>
      </c>
      <c r="R36" s="398">
        <f t="shared" si="2"/>
        <v>0</v>
      </c>
      <c r="S36" s="477"/>
    </row>
    <row r="37" spans="1:22" s="267" customFormat="1" ht="13">
      <c r="A37" s="420" t="s">
        <v>138</v>
      </c>
      <c r="B37" s="278">
        <v>0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78">
        <v>87000</v>
      </c>
      <c r="I37" s="271">
        <v>0</v>
      </c>
      <c r="J37" s="271">
        <v>0</v>
      </c>
      <c r="K37" s="271">
        <v>87000</v>
      </c>
      <c r="L37" s="271">
        <v>0</v>
      </c>
      <c r="M37" s="379">
        <v>0</v>
      </c>
      <c r="N37" s="396">
        <f t="shared" si="8"/>
        <v>174000</v>
      </c>
      <c r="O37" s="397">
        <v>174000</v>
      </c>
      <c r="P37" s="271"/>
      <c r="Q37" s="274"/>
      <c r="R37" s="398">
        <f t="shared" si="2"/>
        <v>0</v>
      </c>
      <c r="S37" s="477"/>
    </row>
    <row r="38" spans="1:22" s="267" customFormat="1" ht="13">
      <c r="A38" s="420" t="s">
        <v>139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379">
        <v>0</v>
      </c>
      <c r="N38" s="396">
        <f t="shared" si="8"/>
        <v>0</v>
      </c>
      <c r="O38" s="397">
        <v>0</v>
      </c>
      <c r="P38" s="271"/>
      <c r="Q38" s="274">
        <f>N38-P38</f>
        <v>0</v>
      </c>
      <c r="R38" s="398">
        <f>O38-N38</f>
        <v>0</v>
      </c>
      <c r="S38" s="477"/>
    </row>
    <row r="39" spans="1:22" s="267" customFormat="1" ht="12">
      <c r="A39" s="420"/>
      <c r="B39" s="278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379"/>
      <c r="N39" s="396"/>
      <c r="O39" s="397"/>
      <c r="P39" s="271"/>
      <c r="Q39" s="274"/>
      <c r="R39" s="398"/>
      <c r="S39" s="477"/>
    </row>
    <row r="40" spans="1:22" s="267" customFormat="1" ht="13">
      <c r="A40" s="420" t="s">
        <v>140</v>
      </c>
      <c r="B40" s="278">
        <v>0</v>
      </c>
      <c r="C40" s="367">
        <v>0</v>
      </c>
      <c r="D40" s="271">
        <v>-10000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-10000</v>
      </c>
      <c r="K40" s="271">
        <v>0</v>
      </c>
      <c r="L40" s="271">
        <v>0</v>
      </c>
      <c r="M40" s="379">
        <v>0</v>
      </c>
      <c r="N40" s="396">
        <f>SUM(B40:M40)</f>
        <v>-20000</v>
      </c>
      <c r="O40" s="397">
        <v>-20000</v>
      </c>
      <c r="P40" s="271"/>
      <c r="Q40" s="274"/>
      <c r="R40" s="398">
        <f>O40-N40</f>
        <v>0</v>
      </c>
      <c r="S40" s="477"/>
    </row>
    <row r="41" spans="1:22" s="267" customFormat="1" ht="13">
      <c r="A41" s="420" t="s">
        <v>141</v>
      </c>
      <c r="B41" s="278">
        <v>0</v>
      </c>
      <c r="C41" s="278">
        <v>0</v>
      </c>
      <c r="D41" s="278">
        <v>0</v>
      </c>
      <c r="E41" s="278">
        <v>0</v>
      </c>
      <c r="F41" s="271">
        <v>0</v>
      </c>
      <c r="G41" s="271">
        <v>0</v>
      </c>
      <c r="H41" s="271">
        <v>11000</v>
      </c>
      <c r="I41" s="271">
        <v>0</v>
      </c>
      <c r="J41" s="271">
        <v>0</v>
      </c>
      <c r="K41" s="271">
        <v>0</v>
      </c>
      <c r="L41" s="271">
        <v>0</v>
      </c>
      <c r="M41" s="379">
        <v>0</v>
      </c>
      <c r="N41" s="396">
        <f t="shared" si="6"/>
        <v>11000</v>
      </c>
      <c r="O41" s="397">
        <v>11000</v>
      </c>
      <c r="P41" s="271"/>
      <c r="Q41" s="274">
        <f t="shared" si="7"/>
        <v>11000</v>
      </c>
      <c r="R41" s="398">
        <f t="shared" si="2"/>
        <v>0</v>
      </c>
      <c r="S41" s="477"/>
    </row>
    <row r="42" spans="1:22" s="267" customFormat="1" ht="13">
      <c r="A42" s="420" t="s">
        <v>142</v>
      </c>
      <c r="B42" s="278">
        <v>600</v>
      </c>
      <c r="C42" s="278">
        <v>600</v>
      </c>
      <c r="D42" s="278">
        <v>600</v>
      </c>
      <c r="E42" s="278">
        <v>600</v>
      </c>
      <c r="F42" s="278">
        <v>600</v>
      </c>
      <c r="G42" s="278">
        <v>600</v>
      </c>
      <c r="H42" s="278">
        <v>1100</v>
      </c>
      <c r="I42" s="278">
        <v>600</v>
      </c>
      <c r="J42" s="278">
        <v>600</v>
      </c>
      <c r="K42" s="278">
        <v>1100</v>
      </c>
      <c r="L42" s="278">
        <v>600</v>
      </c>
      <c r="M42" s="379">
        <v>600</v>
      </c>
      <c r="N42" s="402">
        <f>SUM(B42:M42)</f>
        <v>8200</v>
      </c>
      <c r="O42" s="397">
        <v>8200</v>
      </c>
      <c r="P42" s="278"/>
      <c r="Q42" s="286"/>
      <c r="R42" s="403">
        <f>O42-N42</f>
        <v>0</v>
      </c>
      <c r="S42" s="479"/>
      <c r="T42" s="369"/>
      <c r="U42" s="369"/>
      <c r="V42" s="369"/>
    </row>
    <row r="43" spans="1:22" s="267" customFormat="1" ht="13">
      <c r="A43" s="420" t="s">
        <v>41</v>
      </c>
      <c r="B43" s="278">
        <f>0</f>
        <v>0</v>
      </c>
      <c r="C43" s="271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379">
        <f>0</f>
        <v>0</v>
      </c>
      <c r="N43" s="396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398">
        <f t="shared" si="2"/>
        <v>0</v>
      </c>
      <c r="S43" s="477"/>
    </row>
    <row r="44" spans="1:22" s="438" customFormat="1" ht="13">
      <c r="A44" s="437" t="s">
        <v>42</v>
      </c>
      <c r="B44" s="276">
        <f t="shared" ref="B44:M44" si="9">SUM(B26:B43)</f>
        <v>103300</v>
      </c>
      <c r="C44" s="276">
        <f t="shared" si="9"/>
        <v>108300</v>
      </c>
      <c r="D44" s="276">
        <f t="shared" si="9"/>
        <v>102300</v>
      </c>
      <c r="E44" s="276">
        <f t="shared" si="9"/>
        <v>117300</v>
      </c>
      <c r="F44" s="276">
        <f t="shared" si="9"/>
        <v>127300</v>
      </c>
      <c r="G44" s="276">
        <f t="shared" si="9"/>
        <v>138300</v>
      </c>
      <c r="H44" s="276">
        <f t="shared" si="9"/>
        <v>249800</v>
      </c>
      <c r="I44" s="276">
        <f t="shared" si="9"/>
        <v>164300</v>
      </c>
      <c r="J44" s="276">
        <f t="shared" si="9"/>
        <v>169300</v>
      </c>
      <c r="K44" s="276">
        <f t="shared" si="9"/>
        <v>290800</v>
      </c>
      <c r="L44" s="276">
        <f t="shared" si="9"/>
        <v>232300</v>
      </c>
      <c r="M44" s="380">
        <f t="shared" si="9"/>
        <v>264300</v>
      </c>
      <c r="N44" s="439">
        <f t="shared" si="6"/>
        <v>2067600</v>
      </c>
      <c r="O44" s="440">
        <f>SUM(O26:O43)</f>
        <v>2067600</v>
      </c>
      <c r="P44" s="276">
        <v>401062.26</v>
      </c>
      <c r="Q44" s="276">
        <f t="shared" si="7"/>
        <v>1666537.74</v>
      </c>
      <c r="R44" s="441">
        <f t="shared" si="2"/>
        <v>0</v>
      </c>
      <c r="S44" s="480"/>
    </row>
    <row r="45" spans="1:22" s="267" customFormat="1" ht="6" customHeight="1">
      <c r="A45" s="419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384"/>
      <c r="N45" s="396"/>
      <c r="O45" s="397"/>
      <c r="P45" s="133"/>
      <c r="Q45" s="133"/>
      <c r="R45" s="398"/>
      <c r="S45" s="477"/>
    </row>
    <row r="46" spans="1:22" s="267" customFormat="1" ht="13">
      <c r="A46" s="420" t="s">
        <v>43</v>
      </c>
      <c r="B46" s="278">
        <v>-3000</v>
      </c>
      <c r="C46" s="367">
        <v>-3000</v>
      </c>
      <c r="D46" s="367">
        <v>-3000</v>
      </c>
      <c r="E46" s="271">
        <v>-4000</v>
      </c>
      <c r="F46" s="271">
        <v>-4000</v>
      </c>
      <c r="G46" s="271">
        <v>-5000</v>
      </c>
      <c r="H46" s="271">
        <v>-7000</v>
      </c>
      <c r="I46" s="271">
        <v>-5000</v>
      </c>
      <c r="J46" s="271">
        <v>-5000</v>
      </c>
      <c r="K46" s="271">
        <v>-7000</v>
      </c>
      <c r="L46" s="271">
        <v>-9000</v>
      </c>
      <c r="M46" s="379">
        <v>-7000</v>
      </c>
      <c r="N46" s="396">
        <f>SUM(B46:M46)</f>
        <v>-62000</v>
      </c>
      <c r="O46" s="399">
        <v>-62000</v>
      </c>
      <c r="P46" s="271">
        <v>0</v>
      </c>
      <c r="Q46" s="274">
        <f>N46-P46</f>
        <v>-62000</v>
      </c>
      <c r="R46" s="398">
        <f t="shared" si="2"/>
        <v>0</v>
      </c>
      <c r="S46" s="477"/>
    </row>
    <row r="47" spans="1:22" s="267" customFormat="1" ht="14" thickBot="1">
      <c r="A47" s="420" t="s">
        <v>143</v>
      </c>
      <c r="B47" s="278">
        <f>0</f>
        <v>0</v>
      </c>
      <c r="C47" s="271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379">
        <f>0</f>
        <v>0</v>
      </c>
      <c r="N47" s="396">
        <f>SUM(B47:M47)</f>
        <v>0</v>
      </c>
      <c r="O47" s="397">
        <v>0</v>
      </c>
      <c r="P47" s="271">
        <v>0</v>
      </c>
      <c r="Q47" s="274">
        <f>N47-P47</f>
        <v>0</v>
      </c>
      <c r="R47" s="398">
        <f t="shared" si="2"/>
        <v>0</v>
      </c>
      <c r="S47" s="477"/>
    </row>
    <row r="48" spans="1:22" s="452" customFormat="1" ht="14" thickTop="1">
      <c r="A48" s="445" t="s">
        <v>45</v>
      </c>
      <c r="B48" s="446">
        <f t="shared" ref="B48:M48" si="10">(((((B11)+(B17))+(B23))+(B44))+(B46))+(B47)</f>
        <v>117500</v>
      </c>
      <c r="C48" s="446">
        <f t="shared" si="10"/>
        <v>112200</v>
      </c>
      <c r="D48" s="446">
        <f t="shared" si="10"/>
        <v>107150</v>
      </c>
      <c r="E48" s="446">
        <f t="shared" si="10"/>
        <v>122100</v>
      </c>
      <c r="F48" s="446">
        <f t="shared" si="10"/>
        <v>170600</v>
      </c>
      <c r="G48" s="446">
        <f t="shared" si="10"/>
        <v>177250</v>
      </c>
      <c r="H48" s="446">
        <f t="shared" si="10"/>
        <v>277500</v>
      </c>
      <c r="I48" s="446">
        <f t="shared" si="10"/>
        <v>213500</v>
      </c>
      <c r="J48" s="446">
        <f t="shared" si="10"/>
        <v>207800</v>
      </c>
      <c r="K48" s="446">
        <f t="shared" si="10"/>
        <v>403000</v>
      </c>
      <c r="L48" s="446">
        <f t="shared" si="10"/>
        <v>249900</v>
      </c>
      <c r="M48" s="447">
        <f t="shared" si="10"/>
        <v>306400</v>
      </c>
      <c r="N48" s="448">
        <f>SUM(B48:M48)</f>
        <v>2464900</v>
      </c>
      <c r="O48" s="449">
        <f>SUM(O11,O17,O23,O44,O46,O47)</f>
        <v>2332900</v>
      </c>
      <c r="P48" s="446">
        <v>1179776.3799999999</v>
      </c>
      <c r="Q48" s="450">
        <f>N48-P48</f>
        <v>1285123.6200000001</v>
      </c>
      <c r="R48" s="451">
        <f t="shared" si="2"/>
        <v>-132000</v>
      </c>
      <c r="S48" s="481"/>
    </row>
    <row r="49" spans="1:19" s="267" customFormat="1" ht="7" customHeight="1">
      <c r="A49" s="44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443"/>
      <c r="O49" s="444"/>
      <c r="P49" s="370"/>
      <c r="Q49" s="370"/>
      <c r="R49" s="403"/>
      <c r="S49" s="477"/>
    </row>
    <row r="50" spans="1:19" s="267" customFormat="1" ht="13">
      <c r="A50" s="419" t="s">
        <v>46</v>
      </c>
      <c r="B50" s="413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387"/>
      <c r="N50" s="396"/>
      <c r="O50" s="397"/>
      <c r="P50" s="133"/>
      <c r="Q50" s="133"/>
      <c r="R50" s="398"/>
      <c r="S50" s="477"/>
    </row>
    <row r="51" spans="1:19" s="267" customFormat="1" ht="13">
      <c r="A51" s="419" t="s">
        <v>144</v>
      </c>
      <c r="B51" s="278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379"/>
      <c r="N51" s="396"/>
      <c r="O51" s="397"/>
      <c r="P51" s="133"/>
      <c r="Q51" s="133"/>
      <c r="R51" s="398"/>
      <c r="S51" s="477"/>
    </row>
    <row r="52" spans="1:19" s="267" customFormat="1" ht="13">
      <c r="A52" s="420" t="s">
        <v>48</v>
      </c>
      <c r="B52" s="278">
        <v>400</v>
      </c>
      <c r="C52" s="278">
        <v>400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379">
        <v>400</v>
      </c>
      <c r="N52" s="396">
        <f t="shared" ref="N52:N60" si="11">SUM(B52:M52)</f>
        <v>4800</v>
      </c>
      <c r="O52" s="397">
        <v>4800</v>
      </c>
      <c r="P52" s="271">
        <v>3875.12</v>
      </c>
      <c r="Q52" s="274">
        <f>N52-P52</f>
        <v>924.88000000000011</v>
      </c>
      <c r="R52" s="398">
        <f t="shared" si="2"/>
        <v>0</v>
      </c>
      <c r="S52" s="477"/>
    </row>
    <row r="53" spans="1:19" s="267" customFormat="1" ht="13">
      <c r="A53" s="420" t="s">
        <v>145</v>
      </c>
      <c r="B53" s="278">
        <v>1000</v>
      </c>
      <c r="C53" s="278">
        <v>20000</v>
      </c>
      <c r="D53" s="278">
        <v>1000</v>
      </c>
      <c r="E53" s="278">
        <v>1000</v>
      </c>
      <c r="F53" s="278">
        <v>1000</v>
      </c>
      <c r="G53" s="278">
        <v>1000</v>
      </c>
      <c r="H53" s="278">
        <v>1000</v>
      </c>
      <c r="I53" s="278">
        <v>1000</v>
      </c>
      <c r="J53" s="278">
        <v>1000</v>
      </c>
      <c r="K53" s="278">
        <v>1000</v>
      </c>
      <c r="L53" s="278">
        <v>1000</v>
      </c>
      <c r="M53" s="379">
        <v>8000</v>
      </c>
      <c r="N53" s="396">
        <f t="shared" si="11"/>
        <v>38000</v>
      </c>
      <c r="O53" s="397">
        <v>38000</v>
      </c>
      <c r="P53" s="271">
        <v>20722.400000000001</v>
      </c>
      <c r="Q53" s="274">
        <f t="shared" ref="Q53:Q60" si="12">N53-P53</f>
        <v>17277.599999999999</v>
      </c>
      <c r="R53" s="398">
        <f t="shared" si="2"/>
        <v>0</v>
      </c>
      <c r="S53" s="477"/>
    </row>
    <row r="54" spans="1:19" s="267" customFormat="1" ht="13">
      <c r="A54" s="420" t="s">
        <v>146</v>
      </c>
      <c r="B54" s="278">
        <v>5000</v>
      </c>
      <c r="C54" s="278">
        <v>5000</v>
      </c>
      <c r="D54" s="278">
        <v>5000</v>
      </c>
      <c r="E54" s="278">
        <v>5000</v>
      </c>
      <c r="F54" s="278">
        <v>5000</v>
      </c>
      <c r="G54" s="278">
        <v>5000</v>
      </c>
      <c r="H54" s="278">
        <v>5000</v>
      </c>
      <c r="I54" s="278">
        <v>5000</v>
      </c>
      <c r="J54" s="278">
        <v>5000</v>
      </c>
      <c r="K54" s="278">
        <v>5000</v>
      </c>
      <c r="L54" s="278">
        <v>5000</v>
      </c>
      <c r="M54" s="379">
        <v>5000</v>
      </c>
      <c r="N54" s="396">
        <f t="shared" si="11"/>
        <v>60000</v>
      </c>
      <c r="O54" s="397">
        <v>60000</v>
      </c>
      <c r="P54" s="271">
        <v>24074</v>
      </c>
      <c r="Q54" s="274">
        <f t="shared" si="12"/>
        <v>35926</v>
      </c>
      <c r="R54" s="398">
        <f t="shared" si="2"/>
        <v>0</v>
      </c>
      <c r="S54" s="477"/>
    </row>
    <row r="55" spans="1:19" s="267" customFormat="1" ht="13">
      <c r="A55" s="420" t="s">
        <v>147</v>
      </c>
      <c r="B55" s="278">
        <v>300</v>
      </c>
      <c r="C55" s="278">
        <v>300</v>
      </c>
      <c r="D55" s="278">
        <v>300</v>
      </c>
      <c r="E55" s="278">
        <v>300</v>
      </c>
      <c r="F55" s="278">
        <v>300</v>
      </c>
      <c r="G55" s="278">
        <v>300</v>
      </c>
      <c r="H55" s="278">
        <v>300</v>
      </c>
      <c r="I55" s="278">
        <v>300</v>
      </c>
      <c r="J55" s="278">
        <v>300</v>
      </c>
      <c r="K55" s="278">
        <v>300</v>
      </c>
      <c r="L55" s="278">
        <v>300</v>
      </c>
      <c r="M55" s="379">
        <v>300</v>
      </c>
      <c r="N55" s="396">
        <f t="shared" si="11"/>
        <v>3600</v>
      </c>
      <c r="O55" s="397">
        <v>3600</v>
      </c>
      <c r="P55" s="271">
        <v>4249.01</v>
      </c>
      <c r="Q55" s="274">
        <f t="shared" si="12"/>
        <v>-649.01000000000022</v>
      </c>
      <c r="R55" s="398">
        <f t="shared" si="2"/>
        <v>0</v>
      </c>
      <c r="S55" s="477"/>
    </row>
    <row r="56" spans="1:19" s="267" customFormat="1" ht="13">
      <c r="A56" s="420" t="s">
        <v>148</v>
      </c>
      <c r="B56" s="278">
        <v>0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379">
        <v>0</v>
      </c>
      <c r="N56" s="396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398">
        <f t="shared" si="2"/>
        <v>0</v>
      </c>
      <c r="S56" s="477"/>
    </row>
    <row r="57" spans="1:19" s="267" customFormat="1" ht="13">
      <c r="A57" s="420" t="s">
        <v>149</v>
      </c>
      <c r="B57" s="278">
        <v>500</v>
      </c>
      <c r="C57" s="278">
        <v>500</v>
      </c>
      <c r="D57" s="278">
        <v>500</v>
      </c>
      <c r="E57" s="278">
        <v>500</v>
      </c>
      <c r="F57" s="278">
        <v>500</v>
      </c>
      <c r="G57" s="278">
        <v>500</v>
      </c>
      <c r="H57" s="278">
        <v>500</v>
      </c>
      <c r="I57" s="278">
        <v>500</v>
      </c>
      <c r="J57" s="278">
        <v>500</v>
      </c>
      <c r="K57" s="278">
        <v>500</v>
      </c>
      <c r="L57" s="278">
        <v>500</v>
      </c>
      <c r="M57" s="379">
        <v>500</v>
      </c>
      <c r="N57" s="396">
        <f>SUM(B57:M57)</f>
        <v>6000</v>
      </c>
      <c r="O57" s="397">
        <v>6000</v>
      </c>
      <c r="P57" s="271"/>
      <c r="Q57" s="274">
        <f t="shared" si="12"/>
        <v>6000</v>
      </c>
      <c r="R57" s="398">
        <f t="shared" si="2"/>
        <v>0</v>
      </c>
      <c r="S57" s="477"/>
    </row>
    <row r="58" spans="1:19" s="267" customFormat="1" ht="13">
      <c r="A58" s="420" t="s">
        <v>150</v>
      </c>
      <c r="B58" s="278">
        <v>3000</v>
      </c>
      <c r="C58" s="271">
        <v>7300</v>
      </c>
      <c r="D58" s="271">
        <v>3000</v>
      </c>
      <c r="E58" s="271">
        <v>7300</v>
      </c>
      <c r="F58" s="271">
        <v>6000</v>
      </c>
      <c r="G58" s="271">
        <v>1000</v>
      </c>
      <c r="H58" s="271">
        <v>7300</v>
      </c>
      <c r="I58" s="271">
        <v>7300</v>
      </c>
      <c r="J58" s="271">
        <v>3000</v>
      </c>
      <c r="K58" s="271">
        <v>18800</v>
      </c>
      <c r="L58" s="271">
        <v>3000</v>
      </c>
      <c r="M58" s="379">
        <v>5000</v>
      </c>
      <c r="N58" s="396">
        <f t="shared" si="11"/>
        <v>72000</v>
      </c>
      <c r="O58" s="397">
        <v>72000</v>
      </c>
      <c r="P58" s="271">
        <v>35418.75</v>
      </c>
      <c r="Q58" s="274">
        <f t="shared" si="12"/>
        <v>36581.25</v>
      </c>
      <c r="R58" s="398">
        <f t="shared" si="2"/>
        <v>0</v>
      </c>
      <c r="S58" s="477"/>
    </row>
    <row r="59" spans="1:19" s="267" customFormat="1" ht="13">
      <c r="A59" s="420" t="s">
        <v>151</v>
      </c>
      <c r="B59" s="278">
        <v>0</v>
      </c>
      <c r="C59" s="271">
        <v>0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379">
        <v>0</v>
      </c>
      <c r="N59" s="396">
        <f t="shared" si="11"/>
        <v>3000</v>
      </c>
      <c r="O59" s="397">
        <v>3000</v>
      </c>
      <c r="P59" s="271">
        <v>2665.37</v>
      </c>
      <c r="Q59" s="274">
        <f t="shared" si="12"/>
        <v>334.63000000000011</v>
      </c>
      <c r="R59" s="398">
        <f t="shared" si="2"/>
        <v>0</v>
      </c>
      <c r="S59" s="477"/>
    </row>
    <row r="60" spans="1:19" s="267" customFormat="1" ht="13">
      <c r="A60" s="423" t="s">
        <v>152</v>
      </c>
      <c r="B60" s="276">
        <f t="shared" ref="B60:M60" si="13">SUM(B52:B59)</f>
        <v>10200</v>
      </c>
      <c r="C60" s="276">
        <f t="shared" si="13"/>
        <v>33500</v>
      </c>
      <c r="D60" s="276">
        <f t="shared" si="13"/>
        <v>10200</v>
      </c>
      <c r="E60" s="276">
        <f t="shared" si="13"/>
        <v>14500</v>
      </c>
      <c r="F60" s="276">
        <f t="shared" si="13"/>
        <v>13200</v>
      </c>
      <c r="G60" s="276">
        <f t="shared" si="13"/>
        <v>8200</v>
      </c>
      <c r="H60" s="276">
        <f t="shared" si="13"/>
        <v>14500</v>
      </c>
      <c r="I60" s="276">
        <f t="shared" si="13"/>
        <v>17500</v>
      </c>
      <c r="J60" s="276">
        <f t="shared" si="13"/>
        <v>10200</v>
      </c>
      <c r="K60" s="276">
        <f t="shared" si="13"/>
        <v>29000</v>
      </c>
      <c r="L60" s="276">
        <f t="shared" si="13"/>
        <v>10200</v>
      </c>
      <c r="M60" s="380">
        <f t="shared" si="13"/>
        <v>19200</v>
      </c>
      <c r="N60" s="400">
        <f t="shared" si="11"/>
        <v>190400</v>
      </c>
      <c r="O60" s="401">
        <f>SUM(O52:O59)</f>
        <v>190400</v>
      </c>
      <c r="P60" s="276">
        <v>91929.239999999991</v>
      </c>
      <c r="Q60" s="276">
        <f t="shared" si="12"/>
        <v>98470.760000000009</v>
      </c>
      <c r="R60" s="404">
        <f t="shared" si="2"/>
        <v>0</v>
      </c>
      <c r="S60" s="477"/>
    </row>
    <row r="61" spans="1:19" s="267" customFormat="1" ht="6" customHeight="1">
      <c r="A61" s="419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384"/>
      <c r="N61" s="396"/>
      <c r="O61" s="397"/>
      <c r="P61" s="133"/>
      <c r="Q61" s="133"/>
      <c r="R61" s="398"/>
      <c r="S61" s="477"/>
    </row>
    <row r="62" spans="1:19" s="267" customFormat="1" ht="13">
      <c r="A62" s="419" t="s">
        <v>153</v>
      </c>
      <c r="B62" s="414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385"/>
      <c r="N62" s="396"/>
      <c r="O62" s="397"/>
      <c r="P62" s="133"/>
      <c r="Q62" s="133"/>
      <c r="R62" s="398"/>
      <c r="S62" s="477"/>
    </row>
    <row r="63" spans="1:19" s="267" customFormat="1" ht="13">
      <c r="A63" s="420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379"/>
      <c r="N63" s="405"/>
      <c r="O63" s="406"/>
      <c r="P63" s="271">
        <v>49969.65</v>
      </c>
      <c r="Q63" s="274">
        <f>N63-P63</f>
        <v>-49969.65</v>
      </c>
      <c r="R63" s="398">
        <f t="shared" si="2"/>
        <v>0</v>
      </c>
      <c r="S63" s="477"/>
    </row>
    <row r="64" spans="1:19" s="267" customFormat="1" ht="13">
      <c r="A64" s="420" t="s">
        <v>155</v>
      </c>
      <c r="B64" s="278">
        <v>0</v>
      </c>
      <c r="C64" s="278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4000</v>
      </c>
      <c r="I64" s="278">
        <v>4000</v>
      </c>
      <c r="J64" s="278">
        <v>4000</v>
      </c>
      <c r="K64" s="278">
        <v>4000</v>
      </c>
      <c r="L64" s="278">
        <v>4000</v>
      </c>
      <c r="M64" s="278">
        <v>4000</v>
      </c>
      <c r="N64" s="405">
        <f>SUM(B64:M64)</f>
        <v>24000</v>
      </c>
      <c r="O64" s="397">
        <v>240000</v>
      </c>
      <c r="P64" s="271"/>
      <c r="Q64" s="274"/>
      <c r="R64" s="398"/>
      <c r="S64" s="477"/>
    </row>
    <row r="65" spans="1:22" s="267" customFormat="1" ht="13">
      <c r="A65" s="420" t="s">
        <v>156</v>
      </c>
      <c r="B65" s="278">
        <v>1100</v>
      </c>
      <c r="C65" s="278">
        <v>1100</v>
      </c>
      <c r="D65" s="278">
        <v>1100</v>
      </c>
      <c r="E65" s="278">
        <v>1100</v>
      </c>
      <c r="F65" s="278">
        <v>1100</v>
      </c>
      <c r="G65" s="278">
        <v>1100</v>
      </c>
      <c r="H65" s="278">
        <v>1100</v>
      </c>
      <c r="I65" s="278">
        <v>1100</v>
      </c>
      <c r="J65" s="278">
        <v>1100</v>
      </c>
      <c r="K65" s="278">
        <v>1100</v>
      </c>
      <c r="L65" s="278">
        <v>1100</v>
      </c>
      <c r="M65" s="379">
        <v>1100</v>
      </c>
      <c r="N65" s="396">
        <f t="shared" ref="N65:N80" si="14">SUM(B65:M65)</f>
        <v>13200</v>
      </c>
      <c r="O65" s="397">
        <v>13200</v>
      </c>
      <c r="P65" s="271"/>
      <c r="Q65" s="133"/>
      <c r="R65" s="398">
        <f t="shared" si="2"/>
        <v>0</v>
      </c>
      <c r="S65" s="477"/>
    </row>
    <row r="66" spans="1:22" s="267" customFormat="1" ht="13">
      <c r="A66" s="420" t="s">
        <v>157</v>
      </c>
      <c r="B66" s="278">
        <v>3000</v>
      </c>
      <c r="C66" s="278">
        <v>3000</v>
      </c>
      <c r="D66" s="278">
        <v>3000</v>
      </c>
      <c r="E66" s="278">
        <v>3000</v>
      </c>
      <c r="F66" s="278">
        <v>3000</v>
      </c>
      <c r="G66" s="278">
        <v>3000</v>
      </c>
      <c r="H66" s="278">
        <v>3000</v>
      </c>
      <c r="I66" s="278">
        <v>3000</v>
      </c>
      <c r="J66" s="278">
        <v>3000</v>
      </c>
      <c r="K66" s="278">
        <v>3000</v>
      </c>
      <c r="L66" s="278">
        <v>3000</v>
      </c>
      <c r="M66" s="278">
        <v>3000</v>
      </c>
      <c r="N66" s="396">
        <f t="shared" si="14"/>
        <v>36000</v>
      </c>
      <c r="O66" s="397">
        <v>0</v>
      </c>
      <c r="P66" s="271"/>
      <c r="Q66" s="133"/>
      <c r="R66" s="398">
        <f t="shared" si="2"/>
        <v>-36000</v>
      </c>
      <c r="S66" s="477"/>
    </row>
    <row r="67" spans="1:22" s="267" customFormat="1" ht="13">
      <c r="A67" s="420" t="s">
        <v>158</v>
      </c>
      <c r="B67" s="278">
        <v>0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8">
        <v>0</v>
      </c>
      <c r="I67" s="278">
        <v>0</v>
      </c>
      <c r="J67" s="278">
        <v>0</v>
      </c>
      <c r="K67" s="278">
        <v>0</v>
      </c>
      <c r="L67" s="278">
        <v>0</v>
      </c>
      <c r="M67" s="379">
        <v>0</v>
      </c>
      <c r="N67" s="396">
        <f t="shared" si="14"/>
        <v>0</v>
      </c>
      <c r="O67" s="397">
        <v>0</v>
      </c>
      <c r="P67" s="271"/>
      <c r="Q67" s="133"/>
      <c r="R67" s="398">
        <f t="shared" si="2"/>
        <v>0</v>
      </c>
      <c r="S67" s="477"/>
    </row>
    <row r="68" spans="1:22" s="267" customFormat="1" ht="13">
      <c r="A68" s="420" t="s">
        <v>159</v>
      </c>
      <c r="B68" s="278">
        <v>1000</v>
      </c>
      <c r="C68" s="278">
        <v>1000</v>
      </c>
      <c r="D68" s="278">
        <v>1000</v>
      </c>
      <c r="E68" s="278">
        <v>1000</v>
      </c>
      <c r="F68" s="278">
        <v>1000</v>
      </c>
      <c r="G68" s="278">
        <v>1000</v>
      </c>
      <c r="H68" s="278">
        <v>1000</v>
      </c>
      <c r="I68" s="278">
        <v>1000</v>
      </c>
      <c r="J68" s="278">
        <v>1000</v>
      </c>
      <c r="K68" s="278">
        <v>1000</v>
      </c>
      <c r="L68" s="278">
        <v>1000</v>
      </c>
      <c r="M68" s="379">
        <v>1000</v>
      </c>
      <c r="N68" s="396">
        <f t="shared" si="14"/>
        <v>12000</v>
      </c>
      <c r="O68" s="397">
        <v>12000</v>
      </c>
      <c r="P68" s="271"/>
      <c r="Q68" s="133"/>
      <c r="R68" s="398">
        <f t="shared" si="2"/>
        <v>0</v>
      </c>
      <c r="S68" s="477"/>
    </row>
    <row r="69" spans="1:22" s="267" customFormat="1" ht="13">
      <c r="A69" s="420" t="s">
        <v>160</v>
      </c>
      <c r="B69" s="278">
        <v>0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>
        <v>0</v>
      </c>
      <c r="J69" s="278">
        <v>0</v>
      </c>
      <c r="K69" s="278">
        <v>0</v>
      </c>
      <c r="L69" s="278">
        <v>0</v>
      </c>
      <c r="M69" s="379">
        <v>0</v>
      </c>
      <c r="N69" s="396">
        <f t="shared" si="14"/>
        <v>0</v>
      </c>
      <c r="O69" s="397">
        <v>0</v>
      </c>
      <c r="P69" s="271"/>
      <c r="Q69" s="133"/>
      <c r="R69" s="398">
        <f t="shared" si="2"/>
        <v>0</v>
      </c>
      <c r="S69" s="477"/>
    </row>
    <row r="70" spans="1:22" s="267" customFormat="1" ht="13">
      <c r="A70" s="420" t="s">
        <v>161</v>
      </c>
      <c r="B70" s="278">
        <v>5300</v>
      </c>
      <c r="C70" s="369">
        <v>0</v>
      </c>
      <c r="D70" s="369">
        <v>0</v>
      </c>
      <c r="E70" s="369">
        <v>0</v>
      </c>
      <c r="F70" s="369">
        <v>0</v>
      </c>
      <c r="G70" s="369">
        <v>0</v>
      </c>
      <c r="H70" s="369">
        <v>0</v>
      </c>
      <c r="I70" s="369">
        <v>0</v>
      </c>
      <c r="J70" s="369">
        <v>0</v>
      </c>
      <c r="K70" s="278">
        <v>11000</v>
      </c>
      <c r="L70" s="278">
        <v>0</v>
      </c>
      <c r="M70" s="379">
        <v>0</v>
      </c>
      <c r="N70" s="396">
        <f>SUM(B70:M70)</f>
        <v>16300</v>
      </c>
      <c r="O70" s="397">
        <v>16300</v>
      </c>
      <c r="P70" s="271"/>
      <c r="Q70" s="133"/>
      <c r="R70" s="398">
        <f t="shared" si="2"/>
        <v>0</v>
      </c>
      <c r="S70" s="477"/>
    </row>
    <row r="71" spans="1:22" s="267" customFormat="1" ht="13">
      <c r="A71" s="420" t="s">
        <v>162</v>
      </c>
      <c r="B71" s="278">
        <v>0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>
        <v>0</v>
      </c>
      <c r="J71" s="278">
        <v>0</v>
      </c>
      <c r="K71" s="278">
        <v>0</v>
      </c>
      <c r="L71" s="278">
        <v>0</v>
      </c>
      <c r="M71" s="278">
        <v>0</v>
      </c>
      <c r="N71" s="396">
        <f t="shared" si="14"/>
        <v>0</v>
      </c>
      <c r="O71" s="397">
        <v>25200</v>
      </c>
      <c r="P71" s="271"/>
      <c r="Q71" s="274"/>
      <c r="R71" s="398">
        <f t="shared" si="2"/>
        <v>25200</v>
      </c>
      <c r="S71" s="477"/>
    </row>
    <row r="72" spans="1:22" s="267" customFormat="1" ht="13">
      <c r="A72" s="420" t="s">
        <v>163</v>
      </c>
      <c r="B72" s="278">
        <v>0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379">
        <v>0</v>
      </c>
      <c r="N72" s="405">
        <v>0</v>
      </c>
      <c r="O72" s="397"/>
      <c r="P72" s="271"/>
      <c r="Q72" s="274"/>
      <c r="R72" s="398"/>
      <c r="S72" s="477"/>
    </row>
    <row r="73" spans="1:22" s="267" customFormat="1" ht="13">
      <c r="A73" s="420" t="s">
        <v>164</v>
      </c>
      <c r="B73" s="278">
        <v>1000</v>
      </c>
      <c r="C73" s="278">
        <v>1000</v>
      </c>
      <c r="D73" s="278">
        <v>1000</v>
      </c>
      <c r="E73" s="278">
        <v>1000</v>
      </c>
      <c r="F73" s="278">
        <v>1000</v>
      </c>
      <c r="G73" s="278">
        <v>1000</v>
      </c>
      <c r="H73" s="278">
        <v>1000</v>
      </c>
      <c r="I73" s="278">
        <v>1000</v>
      </c>
      <c r="J73" s="278">
        <v>1000</v>
      </c>
      <c r="K73" s="278">
        <v>1000</v>
      </c>
      <c r="L73" s="278">
        <v>1000</v>
      </c>
      <c r="M73" s="278">
        <v>1000</v>
      </c>
      <c r="N73" s="396">
        <f t="shared" si="14"/>
        <v>12000</v>
      </c>
      <c r="O73" s="397">
        <v>3000</v>
      </c>
      <c r="P73" s="271"/>
      <c r="Q73" s="275"/>
      <c r="R73" s="398">
        <f t="shared" si="2"/>
        <v>-9000</v>
      </c>
      <c r="S73" s="477"/>
    </row>
    <row r="74" spans="1:22" s="267" customFormat="1" ht="13">
      <c r="A74" s="420" t="s">
        <v>165</v>
      </c>
      <c r="B74" s="278">
        <v>10000</v>
      </c>
      <c r="C74" s="278">
        <v>1000</v>
      </c>
      <c r="D74" s="278">
        <v>1000</v>
      </c>
      <c r="E74" s="278">
        <v>1000</v>
      </c>
      <c r="F74" s="278">
        <v>1000</v>
      </c>
      <c r="G74" s="278">
        <v>1000</v>
      </c>
      <c r="H74" s="278">
        <v>1000</v>
      </c>
      <c r="I74" s="278">
        <v>1000</v>
      </c>
      <c r="J74" s="278">
        <v>1000</v>
      </c>
      <c r="K74" s="278">
        <v>1000</v>
      </c>
      <c r="L74" s="278">
        <v>1000</v>
      </c>
      <c r="M74" s="379">
        <v>1000</v>
      </c>
      <c r="N74" s="396">
        <f t="shared" si="14"/>
        <v>21000</v>
      </c>
      <c r="O74" s="397">
        <v>21000</v>
      </c>
      <c r="P74" s="271">
        <v>40075.839999999997</v>
      </c>
      <c r="Q74" s="274">
        <f>N74-P74</f>
        <v>-19075.839999999997</v>
      </c>
      <c r="R74" s="398">
        <f t="shared" si="2"/>
        <v>0</v>
      </c>
      <c r="S74" s="477"/>
    </row>
    <row r="75" spans="1:22" s="267" customFormat="1" ht="12" customHeight="1">
      <c r="A75" s="420" t="s">
        <v>166</v>
      </c>
      <c r="B75" s="278">
        <v>250</v>
      </c>
      <c r="C75" s="278">
        <v>250</v>
      </c>
      <c r="D75" s="278">
        <v>250</v>
      </c>
      <c r="E75" s="278">
        <v>250</v>
      </c>
      <c r="F75" s="278">
        <v>250</v>
      </c>
      <c r="G75" s="278">
        <v>250</v>
      </c>
      <c r="H75" s="278">
        <v>250</v>
      </c>
      <c r="I75" s="278">
        <v>250</v>
      </c>
      <c r="J75" s="278">
        <v>250</v>
      </c>
      <c r="K75" s="278">
        <v>250</v>
      </c>
      <c r="L75" s="278">
        <v>250</v>
      </c>
      <c r="M75" s="379">
        <v>250</v>
      </c>
      <c r="N75" s="396">
        <f t="shared" si="14"/>
        <v>3000</v>
      </c>
      <c r="O75" s="397">
        <v>3000</v>
      </c>
      <c r="P75" s="271">
        <v>6621.17</v>
      </c>
      <c r="Q75" s="274">
        <f t="shared" ref="Q75:Q81" si="15">N75-P75</f>
        <v>-3621.17</v>
      </c>
      <c r="R75" s="398">
        <f t="shared" si="2"/>
        <v>0</v>
      </c>
      <c r="S75" s="477"/>
    </row>
    <row r="76" spans="1:22" s="267" customFormat="1" ht="13">
      <c r="A76" s="420" t="s">
        <v>167</v>
      </c>
      <c r="B76" s="278">
        <v>0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>
        <v>0</v>
      </c>
      <c r="J76" s="278">
        <v>0</v>
      </c>
      <c r="K76" s="278">
        <v>0</v>
      </c>
      <c r="L76" s="278">
        <v>0</v>
      </c>
      <c r="M76" s="379">
        <v>0</v>
      </c>
      <c r="N76" s="396">
        <f t="shared" si="14"/>
        <v>0</v>
      </c>
      <c r="O76" s="397">
        <v>0</v>
      </c>
      <c r="P76" s="271">
        <v>1443.76</v>
      </c>
      <c r="Q76" s="274">
        <f t="shared" si="15"/>
        <v>-1443.76</v>
      </c>
      <c r="R76" s="398">
        <f t="shared" si="2"/>
        <v>0</v>
      </c>
      <c r="S76" s="477"/>
    </row>
    <row r="77" spans="1:22" s="267" customFormat="1" ht="13">
      <c r="A77" s="420" t="s">
        <v>168</v>
      </c>
      <c r="B77" s="278">
        <v>0</v>
      </c>
      <c r="C77" s="278">
        <v>0</v>
      </c>
      <c r="D77" s="278">
        <v>0</v>
      </c>
      <c r="E77" s="278">
        <v>0</v>
      </c>
      <c r="F77" s="278">
        <v>5000</v>
      </c>
      <c r="G77" s="278">
        <v>0</v>
      </c>
      <c r="H77" s="278">
        <v>0</v>
      </c>
      <c r="I77" s="278">
        <v>0</v>
      </c>
      <c r="J77" s="278">
        <v>0</v>
      </c>
      <c r="K77" s="278">
        <v>0</v>
      </c>
      <c r="L77" s="278">
        <v>5000</v>
      </c>
      <c r="M77" s="379">
        <v>0</v>
      </c>
      <c r="N77" s="396">
        <f t="shared" si="14"/>
        <v>10000</v>
      </c>
      <c r="O77" s="397">
        <v>10000</v>
      </c>
      <c r="P77" s="271">
        <v>2425.1099999999997</v>
      </c>
      <c r="Q77" s="274">
        <f t="shared" si="15"/>
        <v>7574.89</v>
      </c>
      <c r="R77" s="398">
        <f t="shared" si="2"/>
        <v>0</v>
      </c>
      <c r="S77" s="477"/>
    </row>
    <row r="78" spans="1:22" s="267" customFormat="1" ht="13">
      <c r="A78" s="420" t="s">
        <v>54</v>
      </c>
      <c r="B78" s="278">
        <v>4000</v>
      </c>
      <c r="C78" s="278">
        <v>4000</v>
      </c>
      <c r="D78" s="278">
        <v>4000</v>
      </c>
      <c r="E78" s="278">
        <v>4000</v>
      </c>
      <c r="F78" s="278">
        <v>4000</v>
      </c>
      <c r="G78" s="278">
        <v>4000</v>
      </c>
      <c r="H78" s="278">
        <v>4000</v>
      </c>
      <c r="I78" s="278">
        <v>4000</v>
      </c>
      <c r="J78" s="278">
        <v>4000</v>
      </c>
      <c r="K78" s="278">
        <v>4000</v>
      </c>
      <c r="L78" s="278">
        <v>4000</v>
      </c>
      <c r="M78" s="379">
        <v>4000</v>
      </c>
      <c r="N78" s="396">
        <f t="shared" si="14"/>
        <v>48000</v>
      </c>
      <c r="O78" s="397">
        <v>48000</v>
      </c>
      <c r="P78" s="271">
        <v>23942.32</v>
      </c>
      <c r="Q78" s="274">
        <f t="shared" si="15"/>
        <v>24057.68</v>
      </c>
      <c r="R78" s="398">
        <f t="shared" si="2"/>
        <v>0</v>
      </c>
      <c r="S78" s="477"/>
    </row>
    <row r="79" spans="1:22" s="267" customFormat="1" ht="13">
      <c r="A79" s="420" t="s">
        <v>56</v>
      </c>
      <c r="B79" s="278">
        <v>2900</v>
      </c>
      <c r="C79" s="278">
        <v>4000</v>
      </c>
      <c r="D79" s="278">
        <v>1100</v>
      </c>
      <c r="E79" s="278">
        <v>400</v>
      </c>
      <c r="F79" s="278">
        <v>400</v>
      </c>
      <c r="G79" s="278">
        <v>400</v>
      </c>
      <c r="H79" s="278">
        <v>400</v>
      </c>
      <c r="I79" s="278">
        <v>400</v>
      </c>
      <c r="J79" s="278">
        <v>3000</v>
      </c>
      <c r="K79" s="278">
        <v>400</v>
      </c>
      <c r="L79" s="278">
        <v>400</v>
      </c>
      <c r="M79" s="278">
        <v>400</v>
      </c>
      <c r="N79" s="396">
        <f t="shared" si="14"/>
        <v>14200</v>
      </c>
      <c r="O79" s="397">
        <v>12200</v>
      </c>
      <c r="P79" s="271">
        <v>13154.77</v>
      </c>
      <c r="Q79" s="274">
        <f t="shared" si="15"/>
        <v>1045.2299999999996</v>
      </c>
      <c r="R79" s="398">
        <f t="shared" si="2"/>
        <v>-2000</v>
      </c>
      <c r="S79" s="477"/>
    </row>
    <row r="80" spans="1:22" s="267" customFormat="1" ht="13">
      <c r="A80" s="420" t="s">
        <v>63</v>
      </c>
      <c r="B80" s="278">
        <f>0</f>
        <v>0</v>
      </c>
      <c r="C80" s="278">
        <f>0</f>
        <v>0</v>
      </c>
      <c r="D80" s="278">
        <f>0</f>
        <v>0</v>
      </c>
      <c r="E80" s="278">
        <v>0</v>
      </c>
      <c r="F80" s="278">
        <v>0</v>
      </c>
      <c r="G80" s="278">
        <f>0</f>
        <v>0</v>
      </c>
      <c r="H80" s="278">
        <f>0</f>
        <v>0</v>
      </c>
      <c r="I80" s="278">
        <f>0</f>
        <v>0</v>
      </c>
      <c r="J80" s="278">
        <v>0</v>
      </c>
      <c r="K80" s="278">
        <v>0</v>
      </c>
      <c r="L80" s="278">
        <f>0</f>
        <v>0</v>
      </c>
      <c r="M80" s="379">
        <f>0</f>
        <v>0</v>
      </c>
      <c r="N80" s="396">
        <f t="shared" si="14"/>
        <v>0</v>
      </c>
      <c r="O80" s="399">
        <v>0</v>
      </c>
      <c r="P80" s="271">
        <v>0</v>
      </c>
      <c r="Q80" s="274">
        <f t="shared" si="15"/>
        <v>0</v>
      </c>
      <c r="R80" s="398">
        <f>O80-N80</f>
        <v>0</v>
      </c>
      <c r="S80" s="479"/>
      <c r="T80" s="369"/>
      <c r="U80" s="369"/>
      <c r="V80" s="369"/>
    </row>
    <row r="81" spans="1:22" s="267" customFormat="1" ht="13">
      <c r="A81" s="423" t="s">
        <v>169</v>
      </c>
      <c r="B81" s="276">
        <f>SUM(B63:B80)</f>
        <v>28550</v>
      </c>
      <c r="C81" s="276">
        <f t="shared" ref="C81:M81" si="16">SUM(C63:C80)</f>
        <v>15350</v>
      </c>
      <c r="D81" s="276">
        <f t="shared" si="16"/>
        <v>12450</v>
      </c>
      <c r="E81" s="276">
        <f t="shared" si="16"/>
        <v>11750</v>
      </c>
      <c r="F81" s="276">
        <f t="shared" si="16"/>
        <v>16750</v>
      </c>
      <c r="G81" s="276">
        <f t="shared" si="16"/>
        <v>11750</v>
      </c>
      <c r="H81" s="276">
        <f t="shared" si="16"/>
        <v>15750</v>
      </c>
      <c r="I81" s="276">
        <f t="shared" si="16"/>
        <v>15750</v>
      </c>
      <c r="J81" s="276">
        <f t="shared" si="16"/>
        <v>18350</v>
      </c>
      <c r="K81" s="276">
        <f t="shared" si="16"/>
        <v>26750</v>
      </c>
      <c r="L81" s="276">
        <f t="shared" si="16"/>
        <v>20750</v>
      </c>
      <c r="M81" s="380">
        <f t="shared" si="16"/>
        <v>15750</v>
      </c>
      <c r="N81" s="407">
        <f>SUM(B81:M81)</f>
        <v>209700</v>
      </c>
      <c r="O81" s="401">
        <f>SUM(O64:O80)</f>
        <v>403900</v>
      </c>
      <c r="P81" s="276">
        <v>137632.61999999997</v>
      </c>
      <c r="Q81" s="276">
        <f t="shared" si="15"/>
        <v>72067.380000000034</v>
      </c>
      <c r="R81" s="404">
        <f>O81-N81</f>
        <v>194200</v>
      </c>
      <c r="S81" s="479"/>
      <c r="T81" s="369"/>
      <c r="U81" s="369"/>
      <c r="V81" s="369"/>
    </row>
    <row r="82" spans="1:22" s="267" customFormat="1" ht="10" customHeight="1">
      <c r="A82" s="419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384"/>
      <c r="N82" s="396"/>
      <c r="O82" s="397"/>
      <c r="P82" s="370"/>
      <c r="Q82" s="370"/>
      <c r="R82" s="398"/>
      <c r="S82" s="479"/>
      <c r="T82" s="369"/>
      <c r="U82" s="369"/>
      <c r="V82" s="369"/>
    </row>
    <row r="83" spans="1:22" s="267" customFormat="1" ht="13">
      <c r="A83" s="419" t="s">
        <v>170</v>
      </c>
      <c r="B83" s="278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379"/>
      <c r="N83" s="396"/>
      <c r="O83" s="397"/>
      <c r="P83" s="370"/>
      <c r="Q83" s="370"/>
      <c r="R83" s="398"/>
      <c r="S83" s="482"/>
      <c r="T83" s="268"/>
      <c r="U83" s="268"/>
      <c r="V83" s="369"/>
    </row>
    <row r="84" spans="1:22" s="267" customFormat="1" ht="13">
      <c r="A84" s="420" t="s">
        <v>67</v>
      </c>
      <c r="B84" s="278">
        <v>0</v>
      </c>
      <c r="C84" s="278">
        <v>0</v>
      </c>
      <c r="D84" s="278">
        <v>0</v>
      </c>
      <c r="E84" s="278">
        <v>0</v>
      </c>
      <c r="F84" s="278">
        <v>7500</v>
      </c>
      <c r="G84" s="278">
        <v>0</v>
      </c>
      <c r="H84" s="278">
        <v>7000</v>
      </c>
      <c r="I84" s="278">
        <v>0</v>
      </c>
      <c r="J84" s="278">
        <v>7000</v>
      </c>
      <c r="K84" s="278">
        <v>0</v>
      </c>
      <c r="L84" s="278">
        <v>0</v>
      </c>
      <c r="M84" s="278">
        <v>0</v>
      </c>
      <c r="N84" s="396">
        <f t="shared" ref="N84:N91" si="17">SUM(B84:M84)</f>
        <v>21500</v>
      </c>
      <c r="O84" s="397">
        <v>0</v>
      </c>
      <c r="P84" s="271">
        <v>5000</v>
      </c>
      <c r="Q84" s="286">
        <f>N84-P84</f>
        <v>16500</v>
      </c>
      <c r="R84" s="398">
        <f t="shared" ref="R84:R96" si="18">O84-N84</f>
        <v>-21500</v>
      </c>
      <c r="S84" s="482"/>
      <c r="T84" s="268"/>
      <c r="U84" s="268"/>
      <c r="V84" s="369"/>
    </row>
    <row r="85" spans="1:22" s="267" customFormat="1" ht="13">
      <c r="A85" s="420" t="s">
        <v>68</v>
      </c>
      <c r="B85" s="278">
        <v>0</v>
      </c>
      <c r="C85" s="278">
        <v>0</v>
      </c>
      <c r="D85" s="278">
        <v>0</v>
      </c>
      <c r="E85" s="278">
        <v>0</v>
      </c>
      <c r="F85" s="278">
        <v>1500</v>
      </c>
      <c r="G85" s="278">
        <v>0</v>
      </c>
      <c r="H85" s="278">
        <v>1500</v>
      </c>
      <c r="I85" s="278">
        <v>0</v>
      </c>
      <c r="J85" s="278">
        <v>1500</v>
      </c>
      <c r="K85" s="278">
        <v>0</v>
      </c>
      <c r="L85" s="278">
        <v>0</v>
      </c>
      <c r="M85" s="278">
        <v>0</v>
      </c>
      <c r="N85" s="396">
        <f t="shared" si="17"/>
        <v>4500</v>
      </c>
      <c r="O85" s="397">
        <v>0</v>
      </c>
      <c r="P85" s="271">
        <v>0</v>
      </c>
      <c r="Q85" s="286">
        <f t="shared" ref="Q85:Q90" si="19">N85-P85</f>
        <v>4500</v>
      </c>
      <c r="R85" s="398">
        <f t="shared" si="18"/>
        <v>-4500</v>
      </c>
      <c r="S85" s="482"/>
      <c r="T85" s="268"/>
      <c r="U85" s="268"/>
      <c r="V85" s="369"/>
    </row>
    <row r="86" spans="1:22" s="267" customFormat="1" ht="13">
      <c r="A86" s="420" t="s">
        <v>69</v>
      </c>
      <c r="B86" s="278">
        <v>0</v>
      </c>
      <c r="C86" s="278">
        <v>0</v>
      </c>
      <c r="D86" s="278">
        <v>0</v>
      </c>
      <c r="E86" s="278">
        <v>0</v>
      </c>
      <c r="F86" s="278">
        <v>6000</v>
      </c>
      <c r="G86" s="278">
        <v>0</v>
      </c>
      <c r="H86" s="278">
        <v>6000</v>
      </c>
      <c r="I86" s="278">
        <v>0</v>
      </c>
      <c r="J86" s="278">
        <v>6000</v>
      </c>
      <c r="K86" s="278">
        <v>0</v>
      </c>
      <c r="L86" s="278">
        <v>0</v>
      </c>
      <c r="M86" s="278">
        <v>0</v>
      </c>
      <c r="N86" s="396">
        <f t="shared" si="17"/>
        <v>18000</v>
      </c>
      <c r="O86" s="397">
        <v>0</v>
      </c>
      <c r="P86" s="271">
        <v>7500</v>
      </c>
      <c r="Q86" s="286">
        <f t="shared" si="19"/>
        <v>10500</v>
      </c>
      <c r="R86" s="398">
        <f t="shared" si="18"/>
        <v>-18000</v>
      </c>
      <c r="S86" s="482"/>
      <c r="T86" s="268"/>
      <c r="U86" s="268"/>
      <c r="V86" s="369"/>
    </row>
    <row r="87" spans="1:22" s="267" customFormat="1" ht="13">
      <c r="A87" s="420" t="s">
        <v>70</v>
      </c>
      <c r="B87" s="278">
        <v>0</v>
      </c>
      <c r="C87" s="278">
        <v>0</v>
      </c>
      <c r="D87" s="278">
        <v>0</v>
      </c>
      <c r="E87" s="278">
        <v>0</v>
      </c>
      <c r="F87" s="278">
        <v>0</v>
      </c>
      <c r="G87" s="278">
        <v>0</v>
      </c>
      <c r="H87" s="278">
        <v>0</v>
      </c>
      <c r="I87" s="278">
        <v>0</v>
      </c>
      <c r="J87" s="278">
        <v>0</v>
      </c>
      <c r="K87" s="278">
        <v>0</v>
      </c>
      <c r="L87" s="278">
        <v>0</v>
      </c>
      <c r="M87" s="278">
        <v>0</v>
      </c>
      <c r="N87" s="396">
        <f t="shared" si="17"/>
        <v>0</v>
      </c>
      <c r="O87" s="397">
        <v>0</v>
      </c>
      <c r="P87" s="271">
        <v>0</v>
      </c>
      <c r="Q87" s="286">
        <f t="shared" si="19"/>
        <v>0</v>
      </c>
      <c r="R87" s="398">
        <f t="shared" si="18"/>
        <v>0</v>
      </c>
      <c r="S87" s="482"/>
      <c r="T87" s="268"/>
      <c r="U87" s="268"/>
      <c r="V87" s="369"/>
    </row>
    <row r="88" spans="1:22" s="267" customFormat="1" ht="13">
      <c r="A88" s="420" t="s">
        <v>71</v>
      </c>
      <c r="B88" s="278">
        <v>0</v>
      </c>
      <c r="C88" s="278">
        <v>0</v>
      </c>
      <c r="D88" s="278">
        <v>0</v>
      </c>
      <c r="E88" s="278">
        <v>0</v>
      </c>
      <c r="F88" s="278"/>
      <c r="G88" s="278">
        <v>4300</v>
      </c>
      <c r="H88" s="278">
        <v>0</v>
      </c>
      <c r="I88" s="278">
        <v>4300</v>
      </c>
      <c r="J88" s="278">
        <v>0</v>
      </c>
      <c r="K88" s="278">
        <v>4300</v>
      </c>
      <c r="L88" s="278">
        <v>0</v>
      </c>
      <c r="M88" s="278">
        <v>0</v>
      </c>
      <c r="N88" s="396">
        <f t="shared" si="17"/>
        <v>12900</v>
      </c>
      <c r="O88" s="397">
        <v>0</v>
      </c>
      <c r="P88" s="271">
        <v>0</v>
      </c>
      <c r="Q88" s="286">
        <f t="shared" si="19"/>
        <v>12900</v>
      </c>
      <c r="R88" s="398">
        <f t="shared" si="18"/>
        <v>-12900</v>
      </c>
      <c r="S88" s="482"/>
      <c r="T88" s="268"/>
      <c r="U88" s="268"/>
      <c r="V88" s="369"/>
    </row>
    <row r="89" spans="1:22" s="267" customFormat="1" ht="13">
      <c r="A89" s="420" t="s">
        <v>72</v>
      </c>
      <c r="B89" s="278">
        <v>0</v>
      </c>
      <c r="C89" s="278">
        <v>0</v>
      </c>
      <c r="D89" s="278">
        <v>0</v>
      </c>
      <c r="E89" s="278">
        <v>0</v>
      </c>
      <c r="F89" s="278">
        <v>8400</v>
      </c>
      <c r="G89" s="278">
        <v>0</v>
      </c>
      <c r="H89" s="278">
        <v>8400</v>
      </c>
      <c r="I89" s="278">
        <v>0</v>
      </c>
      <c r="J89" s="278">
        <v>8400</v>
      </c>
      <c r="K89" s="278">
        <v>0</v>
      </c>
      <c r="L89" s="278">
        <v>0</v>
      </c>
      <c r="M89" s="278">
        <v>0</v>
      </c>
      <c r="N89" s="396">
        <f t="shared" si="17"/>
        <v>25200</v>
      </c>
      <c r="O89" s="397">
        <v>0</v>
      </c>
      <c r="P89" s="271">
        <v>0</v>
      </c>
      <c r="Q89" s="286">
        <f t="shared" si="19"/>
        <v>25200</v>
      </c>
      <c r="R89" s="398">
        <f t="shared" si="18"/>
        <v>-25200</v>
      </c>
      <c r="S89" s="482"/>
      <c r="T89" s="268"/>
      <c r="U89" s="268"/>
      <c r="V89" s="369"/>
    </row>
    <row r="90" spans="1:22" s="267" customFormat="1" ht="13">
      <c r="A90" s="420" t="s">
        <v>73</v>
      </c>
      <c r="B90" s="278">
        <v>0</v>
      </c>
      <c r="C90" s="278">
        <v>0</v>
      </c>
      <c r="D90" s="278">
        <v>0</v>
      </c>
      <c r="E90" s="278">
        <v>0</v>
      </c>
      <c r="F90" s="278">
        <v>9000</v>
      </c>
      <c r="G90" s="278">
        <v>0</v>
      </c>
      <c r="H90" s="278">
        <v>9000</v>
      </c>
      <c r="I90" s="278">
        <v>0</v>
      </c>
      <c r="J90" s="278">
        <v>9000</v>
      </c>
      <c r="K90" s="278">
        <v>0</v>
      </c>
      <c r="L90" s="278">
        <v>0</v>
      </c>
      <c r="M90" s="278">
        <v>0</v>
      </c>
      <c r="N90" s="396">
        <f t="shared" si="17"/>
        <v>27000</v>
      </c>
      <c r="O90" s="397">
        <v>0</v>
      </c>
      <c r="P90" s="271">
        <v>15442</v>
      </c>
      <c r="Q90" s="286">
        <f t="shared" si="19"/>
        <v>11558</v>
      </c>
      <c r="R90" s="398">
        <f t="shared" si="18"/>
        <v>-27000</v>
      </c>
      <c r="S90" s="479"/>
      <c r="T90" s="369"/>
      <c r="U90" s="369"/>
      <c r="V90" s="369"/>
    </row>
    <row r="91" spans="1:22" s="267" customFormat="1" ht="13">
      <c r="A91" s="419" t="s">
        <v>171</v>
      </c>
      <c r="B91" s="276">
        <f>SUM(B84:B90)</f>
        <v>0</v>
      </c>
      <c r="C91" s="276">
        <f t="shared" ref="C91:M91" si="20">SUM(C84:C90)</f>
        <v>0</v>
      </c>
      <c r="D91" s="276">
        <f t="shared" si="20"/>
        <v>0</v>
      </c>
      <c r="E91" s="276">
        <f t="shared" si="20"/>
        <v>0</v>
      </c>
      <c r="F91" s="276">
        <f t="shared" si="20"/>
        <v>32400</v>
      </c>
      <c r="G91" s="276">
        <f t="shared" si="20"/>
        <v>4300</v>
      </c>
      <c r="H91" s="276">
        <f t="shared" si="20"/>
        <v>31900</v>
      </c>
      <c r="I91" s="276">
        <f t="shared" si="20"/>
        <v>4300</v>
      </c>
      <c r="J91" s="276">
        <f t="shared" si="20"/>
        <v>31900</v>
      </c>
      <c r="K91" s="276">
        <f t="shared" si="20"/>
        <v>4300</v>
      </c>
      <c r="L91" s="276">
        <f t="shared" si="20"/>
        <v>0</v>
      </c>
      <c r="M91" s="380">
        <f t="shared" si="20"/>
        <v>0</v>
      </c>
      <c r="N91" s="400">
        <f t="shared" si="17"/>
        <v>109100</v>
      </c>
      <c r="O91" s="408">
        <f>0+SUM(O84:O90)</f>
        <v>0</v>
      </c>
      <c r="P91" s="276">
        <v>27942</v>
      </c>
      <c r="Q91" s="276">
        <f>N91-P91</f>
        <v>81158</v>
      </c>
      <c r="R91" s="404">
        <f t="shared" si="18"/>
        <v>-109100</v>
      </c>
      <c r="S91" s="479"/>
      <c r="T91" s="369"/>
      <c r="U91" s="369"/>
      <c r="V91" s="369"/>
    </row>
    <row r="92" spans="1:22" s="267" customFormat="1" ht="6" hidden="1" customHeight="1">
      <c r="A92" s="419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384"/>
      <c r="N92" s="396"/>
      <c r="O92" s="397"/>
      <c r="P92" s="370"/>
      <c r="Q92" s="370"/>
      <c r="R92" s="398">
        <f t="shared" si="18"/>
        <v>0</v>
      </c>
      <c r="S92" s="479"/>
      <c r="T92" s="369"/>
      <c r="U92" s="369"/>
      <c r="V92" s="369"/>
    </row>
    <row r="93" spans="1:22" s="267" customFormat="1" ht="13" hidden="1">
      <c r="A93" s="424" t="s">
        <v>172</v>
      </c>
      <c r="B93" s="278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379"/>
      <c r="N93" s="396"/>
      <c r="O93" s="397"/>
      <c r="P93" s="370"/>
      <c r="Q93" s="370"/>
      <c r="R93" s="398">
        <f t="shared" si="18"/>
        <v>0</v>
      </c>
      <c r="S93" s="479"/>
      <c r="T93" s="369"/>
      <c r="U93" s="369"/>
      <c r="V93" s="369"/>
    </row>
    <row r="94" spans="1:22" s="267" customFormat="1" ht="13" hidden="1">
      <c r="A94" s="425" t="s">
        <v>173</v>
      </c>
      <c r="B94" s="278" t="e">
        <f>#REF!-#REF!</f>
        <v>#REF!</v>
      </c>
      <c r="C94" s="271" t="e">
        <f>#REF!-#REF!</f>
        <v>#REF!</v>
      </c>
      <c r="D94" s="271" t="e">
        <f>B94-#REF!</f>
        <v>#REF!</v>
      </c>
      <c r="E94" s="271" t="e">
        <f t="shared" ref="E94:M94" si="21">C94-B94</f>
        <v>#REF!</v>
      </c>
      <c r="F94" s="271" t="e">
        <f t="shared" si="21"/>
        <v>#REF!</v>
      </c>
      <c r="G94" s="271" t="e">
        <f t="shared" si="21"/>
        <v>#REF!</v>
      </c>
      <c r="H94" s="271" t="e">
        <f t="shared" si="21"/>
        <v>#REF!</v>
      </c>
      <c r="I94" s="271" t="e">
        <f t="shared" si="21"/>
        <v>#REF!</v>
      </c>
      <c r="J94" s="271" t="e">
        <f t="shared" si="21"/>
        <v>#REF!</v>
      </c>
      <c r="K94" s="271" t="e">
        <f t="shared" si="21"/>
        <v>#REF!</v>
      </c>
      <c r="L94" s="271" t="e">
        <f t="shared" si="21"/>
        <v>#REF!</v>
      </c>
      <c r="M94" s="379" t="e">
        <f t="shared" si="21"/>
        <v>#REF!</v>
      </c>
      <c r="N94" s="396"/>
      <c r="O94" s="397"/>
      <c r="P94" s="370"/>
      <c r="Q94" s="370"/>
      <c r="R94" s="398">
        <f t="shared" si="18"/>
        <v>0</v>
      </c>
      <c r="S94" s="479"/>
      <c r="T94" s="369"/>
      <c r="U94" s="369"/>
      <c r="V94" s="369"/>
    </row>
    <row r="95" spans="1:22" s="267" customFormat="1" ht="13" hidden="1">
      <c r="A95" s="425" t="s">
        <v>174</v>
      </c>
      <c r="B95" s="278">
        <f>0</f>
        <v>0</v>
      </c>
      <c r="C95" s="271">
        <f>0</f>
        <v>0</v>
      </c>
      <c r="D95" s="271">
        <f>0</f>
        <v>0</v>
      </c>
      <c r="E95" s="271">
        <f>0</f>
        <v>0</v>
      </c>
      <c r="F95" s="271">
        <f>0</f>
        <v>0</v>
      </c>
      <c r="G95" s="271">
        <f>0</f>
        <v>0</v>
      </c>
      <c r="H95" s="271">
        <f>0</f>
        <v>0</v>
      </c>
      <c r="I95" s="271">
        <f>0</f>
        <v>0</v>
      </c>
      <c r="J95" s="271">
        <f>0</f>
        <v>0</v>
      </c>
      <c r="K95" s="271">
        <v>0</v>
      </c>
      <c r="L95" s="271">
        <f>0</f>
        <v>0</v>
      </c>
      <c r="M95" s="379">
        <f>0</f>
        <v>0</v>
      </c>
      <c r="N95" s="396"/>
      <c r="O95" s="397"/>
      <c r="P95" s="370"/>
      <c r="Q95" s="370"/>
      <c r="R95" s="398">
        <f t="shared" si="18"/>
        <v>0</v>
      </c>
      <c r="S95" s="479"/>
      <c r="T95" s="369"/>
      <c r="U95" s="369"/>
      <c r="V95" s="369"/>
    </row>
    <row r="96" spans="1:22" s="267" customFormat="1" ht="13" hidden="1">
      <c r="A96" s="424" t="s">
        <v>175</v>
      </c>
      <c r="B96" s="278" t="e">
        <f>SUM(B94:B95)</f>
        <v>#REF!</v>
      </c>
      <c r="C96" s="271" t="e">
        <f t="shared" ref="C96:M96" si="22">SUM(C94:C95)</f>
        <v>#REF!</v>
      </c>
      <c r="D96" s="271" t="e">
        <f t="shared" si="22"/>
        <v>#REF!</v>
      </c>
      <c r="E96" s="271" t="e">
        <f t="shared" si="22"/>
        <v>#REF!</v>
      </c>
      <c r="F96" s="271" t="e">
        <f t="shared" si="22"/>
        <v>#REF!</v>
      </c>
      <c r="G96" s="271" t="e">
        <f t="shared" si="22"/>
        <v>#REF!</v>
      </c>
      <c r="H96" s="271" t="e">
        <f t="shared" si="22"/>
        <v>#REF!</v>
      </c>
      <c r="I96" s="271" t="e">
        <f t="shared" si="22"/>
        <v>#REF!</v>
      </c>
      <c r="J96" s="271" t="e">
        <f t="shared" si="22"/>
        <v>#REF!</v>
      </c>
      <c r="K96" s="271" t="e">
        <f t="shared" si="22"/>
        <v>#REF!</v>
      </c>
      <c r="L96" s="271" t="e">
        <f t="shared" si="22"/>
        <v>#REF!</v>
      </c>
      <c r="M96" s="379" t="e">
        <f t="shared" si="22"/>
        <v>#REF!</v>
      </c>
      <c r="N96" s="396"/>
      <c r="O96" s="397"/>
      <c r="P96" s="370"/>
      <c r="Q96" s="370"/>
      <c r="R96" s="398">
        <f t="shared" si="18"/>
        <v>0</v>
      </c>
      <c r="S96" s="479"/>
      <c r="T96" s="369"/>
      <c r="U96" s="369"/>
      <c r="V96" s="369"/>
    </row>
    <row r="97" spans="1:29" s="267" customFormat="1" ht="15" customHeight="1">
      <c r="A97" s="419"/>
      <c r="B97" s="278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379"/>
      <c r="N97" s="396"/>
      <c r="O97" s="397"/>
      <c r="P97" s="370"/>
      <c r="Q97" s="370"/>
      <c r="R97" s="398"/>
      <c r="S97" s="479"/>
      <c r="T97" s="369"/>
      <c r="U97" s="369"/>
      <c r="V97" s="369"/>
    </row>
    <row r="98" spans="1:29" s="267" customFormat="1" ht="13">
      <c r="A98" s="419" t="s">
        <v>176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379"/>
      <c r="N98" s="396"/>
      <c r="O98" s="397"/>
      <c r="P98" s="133"/>
      <c r="Q98" s="133"/>
      <c r="R98" s="398"/>
      <c r="S98" s="477"/>
    </row>
    <row r="99" spans="1:29" s="267" customFormat="1" ht="13">
      <c r="A99" s="420" t="s">
        <v>177</v>
      </c>
      <c r="B99" s="382">
        <v>2100</v>
      </c>
      <c r="C99" s="382">
        <v>2100</v>
      </c>
      <c r="D99" s="382">
        <v>2100</v>
      </c>
      <c r="E99" s="382">
        <v>2100</v>
      </c>
      <c r="F99" s="382">
        <v>2100</v>
      </c>
      <c r="G99" s="382">
        <v>6600</v>
      </c>
      <c r="H99" s="382">
        <v>2100</v>
      </c>
      <c r="I99" s="382">
        <v>2100</v>
      </c>
      <c r="J99" s="382">
        <v>6600</v>
      </c>
      <c r="K99" s="382">
        <v>2100</v>
      </c>
      <c r="L99" s="382">
        <v>2100</v>
      </c>
      <c r="M99" s="388">
        <v>2100</v>
      </c>
      <c r="N99" s="409">
        <f t="shared" ref="N99:N105" si="23">SUM(B99:M99)</f>
        <v>34200</v>
      </c>
      <c r="O99" s="397">
        <v>34200</v>
      </c>
      <c r="P99" s="271">
        <v>10934</v>
      </c>
      <c r="Q99" s="274">
        <f>N99-P99</f>
        <v>23266</v>
      </c>
      <c r="R99" s="398">
        <f>O99-N99</f>
        <v>0</v>
      </c>
      <c r="S99" s="477"/>
    </row>
    <row r="100" spans="1:29" s="267" customFormat="1" ht="13">
      <c r="A100" s="420" t="s">
        <v>178</v>
      </c>
      <c r="B100" s="278">
        <v>3000</v>
      </c>
      <c r="C100" s="278">
        <v>3000</v>
      </c>
      <c r="D100" s="278">
        <v>3000</v>
      </c>
      <c r="E100" s="278">
        <v>3000</v>
      </c>
      <c r="F100" s="278">
        <v>3000</v>
      </c>
      <c r="G100" s="278">
        <v>3000</v>
      </c>
      <c r="H100" s="278">
        <v>3000</v>
      </c>
      <c r="I100" s="278">
        <v>5000</v>
      </c>
      <c r="J100" s="278">
        <v>5000</v>
      </c>
      <c r="K100" s="278">
        <v>7000</v>
      </c>
      <c r="L100" s="278">
        <v>7000</v>
      </c>
      <c r="M100" s="379">
        <v>7000</v>
      </c>
      <c r="N100" s="396">
        <f t="shared" si="23"/>
        <v>52000</v>
      </c>
      <c r="O100" s="397">
        <v>24400</v>
      </c>
      <c r="P100" s="271">
        <v>40387.379999999997</v>
      </c>
      <c r="Q100" s="274">
        <f>N100-P100</f>
        <v>11612.620000000003</v>
      </c>
      <c r="R100" s="398">
        <f>O100-N100</f>
        <v>-27600</v>
      </c>
      <c r="S100" s="477"/>
    </row>
    <row r="101" spans="1:29" s="267" customFormat="1" ht="13">
      <c r="A101" s="420" t="s">
        <v>179</v>
      </c>
      <c r="B101" s="278">
        <v>0</v>
      </c>
      <c r="C101" s="278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278">
        <v>0</v>
      </c>
      <c r="L101" s="278">
        <v>0</v>
      </c>
      <c r="M101" s="379">
        <v>0</v>
      </c>
      <c r="N101" s="396">
        <f t="shared" si="23"/>
        <v>0</v>
      </c>
      <c r="O101" s="397">
        <v>0</v>
      </c>
      <c r="P101" s="271">
        <v>4150</v>
      </c>
      <c r="Q101" s="274">
        <f>N101-P101</f>
        <v>-4150</v>
      </c>
      <c r="R101" s="398">
        <f>O101-N101</f>
        <v>0</v>
      </c>
      <c r="S101" s="477"/>
    </row>
    <row r="102" spans="1:29" s="267" customFormat="1" ht="13">
      <c r="A102" s="420" t="s">
        <v>180</v>
      </c>
      <c r="B102" s="278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278">
        <v>0</v>
      </c>
      <c r="L102" s="278">
        <v>0</v>
      </c>
      <c r="M102" s="379">
        <v>0</v>
      </c>
      <c r="N102" s="396">
        <f t="shared" si="23"/>
        <v>0</v>
      </c>
      <c r="O102" s="397">
        <v>0</v>
      </c>
      <c r="P102" s="271"/>
      <c r="Q102" s="274"/>
      <c r="R102" s="398">
        <f t="shared" ref="R102:R117" si="24">O102-N102</f>
        <v>0</v>
      </c>
      <c r="S102" s="477"/>
    </row>
    <row r="103" spans="1:29" s="267" customFormat="1" ht="13">
      <c r="A103" s="420" t="s">
        <v>181</v>
      </c>
      <c r="B103" s="278">
        <v>0</v>
      </c>
      <c r="C103" s="278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278">
        <v>0</v>
      </c>
      <c r="L103" s="278">
        <v>0</v>
      </c>
      <c r="M103" s="379">
        <v>0</v>
      </c>
      <c r="N103" s="396">
        <f t="shared" si="23"/>
        <v>0</v>
      </c>
      <c r="O103" s="397">
        <v>0</v>
      </c>
      <c r="P103" s="271"/>
      <c r="Q103" s="274"/>
      <c r="R103" s="398">
        <f t="shared" si="24"/>
        <v>0</v>
      </c>
      <c r="S103" s="477"/>
    </row>
    <row r="104" spans="1:29" s="267" customFormat="1" ht="13">
      <c r="A104" s="420" t="s">
        <v>182</v>
      </c>
      <c r="B104" s="278">
        <v>1000</v>
      </c>
      <c r="C104" s="278">
        <v>1000</v>
      </c>
      <c r="D104" s="278">
        <v>1000</v>
      </c>
      <c r="E104" s="278">
        <v>1000</v>
      </c>
      <c r="F104" s="278">
        <v>1500</v>
      </c>
      <c r="G104" s="278">
        <v>1000</v>
      </c>
      <c r="H104" s="278">
        <v>1000</v>
      </c>
      <c r="I104" s="278">
        <v>1000</v>
      </c>
      <c r="J104" s="278">
        <v>1000</v>
      </c>
      <c r="K104" s="278">
        <v>1000</v>
      </c>
      <c r="L104" s="278">
        <v>1000</v>
      </c>
      <c r="M104" s="379">
        <v>1000</v>
      </c>
      <c r="N104" s="396">
        <f t="shared" si="23"/>
        <v>12500</v>
      </c>
      <c r="O104" s="397">
        <v>12500</v>
      </c>
      <c r="P104" s="271"/>
      <c r="Q104" s="274"/>
      <c r="R104" s="398">
        <f t="shared" si="24"/>
        <v>0</v>
      </c>
      <c r="S104" s="477"/>
    </row>
    <row r="105" spans="1:29" s="267" customFormat="1" ht="13">
      <c r="A105" s="420" t="s">
        <v>183</v>
      </c>
      <c r="B105" s="278">
        <v>0</v>
      </c>
      <c r="C105" s="278">
        <v>0</v>
      </c>
      <c r="D105" s="278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  <c r="L105" s="278">
        <v>0</v>
      </c>
      <c r="M105" s="379">
        <v>0</v>
      </c>
      <c r="N105" s="405">
        <f t="shared" si="23"/>
        <v>0</v>
      </c>
      <c r="O105" s="397">
        <v>0</v>
      </c>
      <c r="P105" s="271"/>
      <c r="Q105" s="274"/>
      <c r="R105" s="398">
        <f t="shared" si="24"/>
        <v>0</v>
      </c>
      <c r="S105" s="477"/>
    </row>
    <row r="106" spans="1:29" s="267" customFormat="1" ht="13">
      <c r="A106" s="420" t="s">
        <v>184</v>
      </c>
      <c r="B106" s="278"/>
      <c r="C106" s="278"/>
      <c r="D106" s="278"/>
      <c r="E106" s="278"/>
      <c r="F106" s="278"/>
      <c r="G106" s="278"/>
      <c r="H106" s="271"/>
      <c r="I106" s="271"/>
      <c r="J106" s="271"/>
      <c r="K106" s="271"/>
      <c r="L106" s="271"/>
      <c r="M106" s="379"/>
      <c r="N106" s="410"/>
      <c r="O106" s="397"/>
      <c r="P106" s="271"/>
      <c r="Q106" s="274">
        <f>N106-P106</f>
        <v>0</v>
      </c>
      <c r="R106" s="398"/>
      <c r="S106" s="477"/>
    </row>
    <row r="107" spans="1:29" s="267" customFormat="1" ht="13">
      <c r="A107" s="420" t="s">
        <v>185</v>
      </c>
      <c r="B107" s="278">
        <v>0</v>
      </c>
      <c r="C107" s="367">
        <v>0</v>
      </c>
      <c r="D107" s="367">
        <v>0</v>
      </c>
      <c r="E107" s="367">
        <v>0</v>
      </c>
      <c r="F107" s="367">
        <v>0</v>
      </c>
      <c r="G107" s="367">
        <v>0</v>
      </c>
      <c r="H107" s="367">
        <v>0</v>
      </c>
      <c r="I107" s="367">
        <v>0</v>
      </c>
      <c r="J107" s="367">
        <v>0</v>
      </c>
      <c r="K107" s="367">
        <v>0</v>
      </c>
      <c r="L107" s="367">
        <v>0</v>
      </c>
      <c r="M107" s="389">
        <v>0</v>
      </c>
      <c r="N107" s="405">
        <f>SUM(B107:M107)</f>
        <v>0</v>
      </c>
      <c r="O107" s="406">
        <f>'StartNew Revenue &amp; Costs'!AK13+'StartNew Revenue &amp; Costs'!AK21</f>
        <v>0</v>
      </c>
      <c r="P107" s="271">
        <f>'StartNew Revenue &amp; Costs'!AL13+'StartNew Revenue &amp; Costs'!AL21</f>
        <v>0</v>
      </c>
      <c r="Q107" s="271">
        <v>0</v>
      </c>
      <c r="R107" s="398">
        <f t="shared" si="24"/>
        <v>0</v>
      </c>
      <c r="S107" s="483"/>
      <c r="T107" s="271"/>
      <c r="U107" s="271">
        <f>'StartNew Revenue &amp; Costs'!AQ13+'StartNew Revenue &amp; Costs'!AQ21</f>
        <v>0</v>
      </c>
      <c r="V107" s="271">
        <f>'StartNew Revenue &amp; Costs'!AR13+'StartNew Revenue &amp; Costs'!AR21</f>
        <v>0</v>
      </c>
      <c r="W107" s="271">
        <v>0</v>
      </c>
      <c r="X107" s="271">
        <f>'StartNew Revenue &amp; Costs'!AT13+'StartNew Revenue &amp; Costs'!AT21</f>
        <v>0</v>
      </c>
      <c r="Y107" s="284">
        <f>SUM(B107:X107)</f>
        <v>0</v>
      </c>
      <c r="Z107" s="286">
        <v>875</v>
      </c>
      <c r="AA107" s="271">
        <v>875</v>
      </c>
      <c r="AB107" s="274">
        <f>Y107-AA107</f>
        <v>-875</v>
      </c>
      <c r="AC107" s="274">
        <f>Z107-Y107</f>
        <v>875</v>
      </c>
    </row>
    <row r="108" spans="1:29" s="267" customFormat="1" ht="13">
      <c r="A108" s="420" t="s">
        <v>186</v>
      </c>
      <c r="B108" s="278">
        <v>0</v>
      </c>
      <c r="C108" s="278">
        <v>0</v>
      </c>
      <c r="D108" s="278">
        <v>0</v>
      </c>
      <c r="E108" s="278">
        <v>0</v>
      </c>
      <c r="F108" s="278">
        <v>0</v>
      </c>
      <c r="G108" s="278">
        <v>0</v>
      </c>
      <c r="H108" s="278">
        <v>3500</v>
      </c>
      <c r="I108" s="278">
        <v>0</v>
      </c>
      <c r="J108" s="278">
        <v>0</v>
      </c>
      <c r="K108" s="278">
        <v>3500</v>
      </c>
      <c r="L108" s="278">
        <v>0</v>
      </c>
      <c r="M108" s="379">
        <v>0</v>
      </c>
      <c r="N108" s="396">
        <f>SUM(B108:M108)</f>
        <v>7000</v>
      </c>
      <c r="O108" s="397">
        <v>7000</v>
      </c>
      <c r="P108" s="271">
        <v>0</v>
      </c>
      <c r="Q108" s="274">
        <f>N108-P108</f>
        <v>7000</v>
      </c>
      <c r="R108" s="398">
        <f t="shared" si="24"/>
        <v>0</v>
      </c>
      <c r="S108" s="477"/>
    </row>
    <row r="109" spans="1:29" s="267" customFormat="1" ht="13">
      <c r="A109" s="420" t="s">
        <v>187</v>
      </c>
      <c r="B109" s="278">
        <v>0</v>
      </c>
      <c r="C109" s="278">
        <v>0</v>
      </c>
      <c r="D109" s="278">
        <v>0</v>
      </c>
      <c r="E109" s="278">
        <v>0</v>
      </c>
      <c r="F109" s="278">
        <v>0</v>
      </c>
      <c r="G109" s="278">
        <v>0</v>
      </c>
      <c r="H109" s="271">
        <v>1500</v>
      </c>
      <c r="I109" s="271">
        <v>0</v>
      </c>
      <c r="J109" s="271">
        <v>0</v>
      </c>
      <c r="K109" s="271">
        <v>1500</v>
      </c>
      <c r="L109" s="271">
        <v>0</v>
      </c>
      <c r="M109" s="379">
        <v>0</v>
      </c>
      <c r="N109" s="396">
        <f t="shared" ref="N109:N115" si="25">SUM(B109:M109)</f>
        <v>3000</v>
      </c>
      <c r="O109" s="397">
        <v>3000</v>
      </c>
      <c r="P109" s="271">
        <v>11057.409999999998</v>
      </c>
      <c r="Q109" s="274">
        <f>N109-P109</f>
        <v>-8057.409999999998</v>
      </c>
      <c r="R109" s="398">
        <f t="shared" si="24"/>
        <v>0</v>
      </c>
      <c r="S109" s="477"/>
    </row>
    <row r="110" spans="1:29" s="267" customFormat="1" ht="13">
      <c r="A110" s="420" t="s">
        <v>188</v>
      </c>
      <c r="B110" s="278">
        <v>0</v>
      </c>
      <c r="C110" s="278">
        <v>0</v>
      </c>
      <c r="D110" s="278">
        <v>0</v>
      </c>
      <c r="E110" s="278">
        <v>0</v>
      </c>
      <c r="F110" s="278">
        <v>0</v>
      </c>
      <c r="G110" s="278">
        <v>0</v>
      </c>
      <c r="H110" s="271">
        <v>1000</v>
      </c>
      <c r="I110" s="271">
        <v>0</v>
      </c>
      <c r="J110" s="271">
        <v>0</v>
      </c>
      <c r="K110" s="271">
        <v>1000</v>
      </c>
      <c r="L110" s="271">
        <v>0</v>
      </c>
      <c r="M110" s="379">
        <v>0</v>
      </c>
      <c r="N110" s="396">
        <f>SUM(B110:M110)</f>
        <v>2000</v>
      </c>
      <c r="O110" s="397">
        <v>2000</v>
      </c>
      <c r="P110" s="271">
        <v>5082.8500000000004</v>
      </c>
      <c r="Q110" s="274">
        <f>N110-P110</f>
        <v>-3082.8500000000004</v>
      </c>
      <c r="R110" s="398">
        <f t="shared" si="24"/>
        <v>0</v>
      </c>
      <c r="S110" s="477"/>
    </row>
    <row r="111" spans="1:29" s="267" customFormat="1" ht="13">
      <c r="A111" s="420" t="s">
        <v>189</v>
      </c>
      <c r="B111" s="278">
        <v>0</v>
      </c>
      <c r="C111" s="278">
        <v>0</v>
      </c>
      <c r="D111" s="278">
        <v>0</v>
      </c>
      <c r="E111" s="278">
        <v>0</v>
      </c>
      <c r="F111" s="278">
        <v>0</v>
      </c>
      <c r="G111" s="278">
        <v>0</v>
      </c>
      <c r="H111" s="271">
        <v>1000</v>
      </c>
      <c r="I111" s="271">
        <v>0</v>
      </c>
      <c r="J111" s="271">
        <v>0</v>
      </c>
      <c r="K111" s="271">
        <v>1000</v>
      </c>
      <c r="L111" s="271">
        <v>0</v>
      </c>
      <c r="M111" s="379">
        <v>0</v>
      </c>
      <c r="N111" s="396">
        <f t="shared" si="25"/>
        <v>2000</v>
      </c>
      <c r="O111" s="397">
        <v>2000</v>
      </c>
      <c r="P111" s="271">
        <v>7928.23</v>
      </c>
      <c r="Q111" s="274">
        <f>N111-P111</f>
        <v>-5928.23</v>
      </c>
      <c r="R111" s="398">
        <f t="shared" si="24"/>
        <v>0</v>
      </c>
      <c r="S111" s="477"/>
    </row>
    <row r="112" spans="1:29" s="267" customFormat="1" ht="13">
      <c r="A112" s="420" t="s">
        <v>190</v>
      </c>
      <c r="B112" s="278">
        <v>0</v>
      </c>
      <c r="C112" s="278">
        <v>0</v>
      </c>
      <c r="D112" s="278">
        <v>0</v>
      </c>
      <c r="E112" s="278">
        <v>0</v>
      </c>
      <c r="F112" s="278">
        <v>0</v>
      </c>
      <c r="G112" s="278">
        <v>0</v>
      </c>
      <c r="H112" s="271">
        <v>2000</v>
      </c>
      <c r="I112" s="271">
        <v>0</v>
      </c>
      <c r="J112" s="271">
        <v>0</v>
      </c>
      <c r="K112" s="271">
        <v>2000</v>
      </c>
      <c r="L112" s="271">
        <v>0</v>
      </c>
      <c r="M112" s="379">
        <v>0</v>
      </c>
      <c r="N112" s="396">
        <f t="shared" si="25"/>
        <v>4000</v>
      </c>
      <c r="O112" s="397">
        <v>4000</v>
      </c>
      <c r="P112" s="271"/>
      <c r="Q112" s="274"/>
      <c r="R112" s="398">
        <f t="shared" si="24"/>
        <v>0</v>
      </c>
      <c r="S112" s="477"/>
    </row>
    <row r="113" spans="1:19" s="267" customFormat="1" ht="13">
      <c r="A113" s="426" t="s">
        <v>191</v>
      </c>
      <c r="B113" s="278">
        <v>0</v>
      </c>
      <c r="C113" s="278">
        <v>0</v>
      </c>
      <c r="D113" s="278">
        <v>0</v>
      </c>
      <c r="E113" s="278">
        <v>0</v>
      </c>
      <c r="F113" s="278">
        <v>0</v>
      </c>
      <c r="G113" s="278">
        <v>0</v>
      </c>
      <c r="H113" s="271">
        <v>1000</v>
      </c>
      <c r="I113" s="271">
        <v>0</v>
      </c>
      <c r="J113" s="271">
        <v>0</v>
      </c>
      <c r="K113" s="271">
        <v>1000</v>
      </c>
      <c r="L113" s="271">
        <v>0</v>
      </c>
      <c r="M113" s="379">
        <v>0</v>
      </c>
      <c r="N113" s="396">
        <f t="shared" si="25"/>
        <v>2000</v>
      </c>
      <c r="O113" s="397">
        <v>2000</v>
      </c>
      <c r="P113" s="271"/>
      <c r="Q113" s="274"/>
      <c r="R113" s="398">
        <f t="shared" si="24"/>
        <v>0</v>
      </c>
      <c r="S113" s="477"/>
    </row>
    <row r="114" spans="1:19" s="267" customFormat="1" ht="13">
      <c r="A114" s="420" t="s">
        <v>192</v>
      </c>
      <c r="B114" s="278">
        <v>200</v>
      </c>
      <c r="C114" s="278">
        <v>200</v>
      </c>
      <c r="D114" s="278">
        <v>200</v>
      </c>
      <c r="E114" s="278">
        <v>200</v>
      </c>
      <c r="F114" s="278">
        <v>200</v>
      </c>
      <c r="G114" s="278">
        <v>200</v>
      </c>
      <c r="H114" s="278">
        <v>200</v>
      </c>
      <c r="I114" s="278">
        <v>200</v>
      </c>
      <c r="J114" s="278">
        <v>200</v>
      </c>
      <c r="K114" s="278">
        <v>200</v>
      </c>
      <c r="L114" s="278">
        <v>200</v>
      </c>
      <c r="M114" s="379">
        <v>200</v>
      </c>
      <c r="N114" s="396">
        <f>SUM(B114:M114)</f>
        <v>2400</v>
      </c>
      <c r="O114" s="397">
        <v>2400</v>
      </c>
      <c r="P114" s="271"/>
      <c r="Q114" s="274"/>
      <c r="R114" s="398">
        <f t="shared" si="24"/>
        <v>0</v>
      </c>
      <c r="S114" s="477"/>
    </row>
    <row r="115" spans="1:19" s="267" customFormat="1" ht="13">
      <c r="A115" s="420" t="s">
        <v>193</v>
      </c>
      <c r="B115" s="278">
        <v>2000</v>
      </c>
      <c r="C115" s="278">
        <v>2000</v>
      </c>
      <c r="D115" s="278">
        <v>2000</v>
      </c>
      <c r="E115" s="278">
        <v>2000</v>
      </c>
      <c r="F115" s="278">
        <v>2000</v>
      </c>
      <c r="G115" s="278">
        <v>2000</v>
      </c>
      <c r="H115" s="278">
        <v>2000</v>
      </c>
      <c r="I115" s="278">
        <v>2000</v>
      </c>
      <c r="J115" s="278">
        <v>2000</v>
      </c>
      <c r="K115" s="278">
        <v>2000</v>
      </c>
      <c r="L115" s="278">
        <v>2000</v>
      </c>
      <c r="M115" s="379">
        <v>2000</v>
      </c>
      <c r="N115" s="396">
        <f t="shared" si="25"/>
        <v>24000</v>
      </c>
      <c r="O115" s="397">
        <v>24000</v>
      </c>
      <c r="P115" s="278"/>
      <c r="Q115" s="286"/>
      <c r="R115" s="398">
        <f t="shared" si="24"/>
        <v>0</v>
      </c>
      <c r="S115" s="477"/>
    </row>
    <row r="116" spans="1:19" s="267" customFormat="1" ht="13">
      <c r="A116" s="420" t="s">
        <v>194</v>
      </c>
      <c r="B116" s="278">
        <v>3000</v>
      </c>
      <c r="C116" s="278">
        <v>3000</v>
      </c>
      <c r="D116" s="278">
        <v>3000</v>
      </c>
      <c r="E116" s="278">
        <v>4000</v>
      </c>
      <c r="F116" s="278">
        <v>4000</v>
      </c>
      <c r="G116" s="278">
        <v>5000</v>
      </c>
      <c r="H116" s="278">
        <v>7000</v>
      </c>
      <c r="I116" s="278">
        <v>5000</v>
      </c>
      <c r="J116" s="278">
        <v>5000</v>
      </c>
      <c r="K116" s="278">
        <v>9000</v>
      </c>
      <c r="L116" s="278">
        <v>7000</v>
      </c>
      <c r="M116" s="379">
        <v>9000</v>
      </c>
      <c r="N116" s="396">
        <f>SUM(B116:M116)</f>
        <v>64000</v>
      </c>
      <c r="O116" s="397">
        <v>64000</v>
      </c>
      <c r="P116" s="278"/>
      <c r="Q116" s="286"/>
      <c r="R116" s="398">
        <f t="shared" si="24"/>
        <v>0</v>
      </c>
      <c r="S116" s="477"/>
    </row>
    <row r="117" spans="1:19" s="267" customFormat="1" ht="13">
      <c r="A117" s="437" t="s">
        <v>92</v>
      </c>
      <c r="B117" s="276">
        <f t="shared" ref="B117:M117" si="26">SUM(B99:B116)</f>
        <v>11300</v>
      </c>
      <c r="C117" s="277">
        <f t="shared" si="26"/>
        <v>11300</v>
      </c>
      <c r="D117" s="276">
        <f t="shared" si="26"/>
        <v>11300</v>
      </c>
      <c r="E117" s="276">
        <f t="shared" si="26"/>
        <v>12300</v>
      </c>
      <c r="F117" s="276">
        <f t="shared" si="26"/>
        <v>12800</v>
      </c>
      <c r="G117" s="276">
        <f t="shared" si="26"/>
        <v>17800</v>
      </c>
      <c r="H117" s="276">
        <f t="shared" si="26"/>
        <v>25300</v>
      </c>
      <c r="I117" s="276">
        <f t="shared" si="26"/>
        <v>15300</v>
      </c>
      <c r="J117" s="276">
        <f t="shared" si="26"/>
        <v>19800</v>
      </c>
      <c r="K117" s="276">
        <f t="shared" si="26"/>
        <v>31300</v>
      </c>
      <c r="L117" s="276">
        <f t="shared" si="26"/>
        <v>19300</v>
      </c>
      <c r="M117" s="276">
        <f t="shared" si="26"/>
        <v>21300</v>
      </c>
      <c r="N117" s="439">
        <f>SUM(B117:M117)</f>
        <v>209100</v>
      </c>
      <c r="O117" s="440">
        <f>SUM(O97:O116)</f>
        <v>181500</v>
      </c>
      <c r="P117" s="276">
        <v>80414.87</v>
      </c>
      <c r="Q117" s="276">
        <f>N117-P117</f>
        <v>128685.13</v>
      </c>
      <c r="R117" s="441">
        <f t="shared" si="24"/>
        <v>-27600</v>
      </c>
      <c r="S117" s="477"/>
    </row>
    <row r="118" spans="1:19" s="267" customFormat="1" ht="13" customHeight="1">
      <c r="A118" s="419"/>
      <c r="B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384"/>
      <c r="N118" s="396"/>
      <c r="O118" s="397"/>
      <c r="P118" s="133"/>
      <c r="Q118" s="133"/>
      <c r="R118" s="398"/>
      <c r="S118" s="477"/>
    </row>
    <row r="119" spans="1:19" s="267" customFormat="1" ht="14" customHeight="1">
      <c r="A119" s="419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384"/>
      <c r="N119" s="396"/>
      <c r="O119" s="397"/>
      <c r="P119" s="133"/>
      <c r="Q119" s="133"/>
      <c r="R119" s="398"/>
      <c r="S119" s="477"/>
    </row>
    <row r="120" spans="1:19" s="267" customFormat="1" ht="13">
      <c r="A120" s="419" t="s">
        <v>195</v>
      </c>
      <c r="B120" s="278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379"/>
      <c r="N120" s="396"/>
      <c r="O120" s="397"/>
      <c r="P120" s="133"/>
      <c r="Q120" s="133"/>
      <c r="R120" s="398"/>
      <c r="S120" s="477"/>
    </row>
    <row r="121" spans="1:19" s="267" customFormat="1" ht="13">
      <c r="A121" s="420" t="s">
        <v>196</v>
      </c>
      <c r="B121" s="278">
        <v>0</v>
      </c>
      <c r="C121" s="271">
        <v>0</v>
      </c>
      <c r="D121" s="271">
        <v>0</v>
      </c>
      <c r="E121" s="271">
        <v>0</v>
      </c>
      <c r="F121" s="271">
        <v>0</v>
      </c>
      <c r="G121" s="271">
        <v>0</v>
      </c>
      <c r="H121" s="271">
        <v>0</v>
      </c>
      <c r="I121" s="271">
        <v>0</v>
      </c>
      <c r="J121" s="271">
        <v>0</v>
      </c>
      <c r="K121" s="271">
        <v>0</v>
      </c>
      <c r="L121" s="271">
        <v>0</v>
      </c>
      <c r="M121" s="379">
        <v>0</v>
      </c>
      <c r="N121" s="396">
        <f>SUM(B121:M121)</f>
        <v>0</v>
      </c>
      <c r="O121" s="397">
        <v>0</v>
      </c>
      <c r="P121" s="271">
        <v>11031.75</v>
      </c>
      <c r="Q121" s="274">
        <f>N121-P121</f>
        <v>-11031.75</v>
      </c>
      <c r="R121" s="398">
        <f>O121-N121</f>
        <v>0</v>
      </c>
      <c r="S121" s="477"/>
    </row>
    <row r="122" spans="1:19" s="267" customFormat="1" ht="13">
      <c r="A122" s="419" t="s">
        <v>197</v>
      </c>
      <c r="B122" s="276">
        <f t="shared" ref="B122:M122" si="27">SUM(B121:B121)</f>
        <v>0</v>
      </c>
      <c r="C122" s="276">
        <f t="shared" si="27"/>
        <v>0</v>
      </c>
      <c r="D122" s="276">
        <f t="shared" si="27"/>
        <v>0</v>
      </c>
      <c r="E122" s="276">
        <f t="shared" si="27"/>
        <v>0</v>
      </c>
      <c r="F122" s="276">
        <f t="shared" si="27"/>
        <v>0</v>
      </c>
      <c r="G122" s="276">
        <f t="shared" si="27"/>
        <v>0</v>
      </c>
      <c r="H122" s="276">
        <f t="shared" si="27"/>
        <v>0</v>
      </c>
      <c r="I122" s="276">
        <f t="shared" si="27"/>
        <v>0</v>
      </c>
      <c r="J122" s="276">
        <f t="shared" si="27"/>
        <v>0</v>
      </c>
      <c r="K122" s="276">
        <f t="shared" si="27"/>
        <v>0</v>
      </c>
      <c r="L122" s="276">
        <f t="shared" si="27"/>
        <v>0</v>
      </c>
      <c r="M122" s="380">
        <f t="shared" si="27"/>
        <v>0</v>
      </c>
      <c r="N122" s="400">
        <f>SUM(B122:M122)</f>
        <v>0</v>
      </c>
      <c r="O122" s="408">
        <v>0</v>
      </c>
      <c r="P122" s="276">
        <v>18072.3</v>
      </c>
      <c r="Q122" s="276">
        <f>N122-P122</f>
        <v>-18072.3</v>
      </c>
      <c r="R122" s="404">
        <f>O122-N122</f>
        <v>0</v>
      </c>
      <c r="S122" s="477"/>
    </row>
    <row r="123" spans="1:19" s="267" customFormat="1" ht="6" customHeight="1">
      <c r="A123" s="419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384"/>
      <c r="N123" s="396"/>
      <c r="O123" s="397"/>
      <c r="P123" s="133"/>
      <c r="Q123" s="133"/>
      <c r="R123" s="398"/>
      <c r="S123" s="477"/>
    </row>
    <row r="124" spans="1:19" s="267" customFormat="1" ht="14.5" customHeight="1">
      <c r="A124" s="419" t="s">
        <v>198</v>
      </c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384"/>
      <c r="N124" s="396"/>
      <c r="O124" s="397"/>
      <c r="P124" s="133"/>
      <c r="Q124" s="133"/>
      <c r="R124" s="398"/>
      <c r="S124" s="477"/>
    </row>
    <row r="125" spans="1:19" s="267" customFormat="1" ht="13">
      <c r="A125" s="420" t="s">
        <v>199</v>
      </c>
      <c r="B125" s="278">
        <v>18000</v>
      </c>
      <c r="C125" s="278">
        <v>18000</v>
      </c>
      <c r="D125" s="278">
        <v>18000</v>
      </c>
      <c r="E125" s="278">
        <v>18000</v>
      </c>
      <c r="F125" s="278">
        <v>18000</v>
      </c>
      <c r="G125" s="278">
        <v>18000</v>
      </c>
      <c r="H125" s="278">
        <v>18000</v>
      </c>
      <c r="I125" s="278">
        <v>18000</v>
      </c>
      <c r="J125" s="278">
        <v>18000</v>
      </c>
      <c r="K125" s="278">
        <v>18000</v>
      </c>
      <c r="L125" s="278">
        <v>18000</v>
      </c>
      <c r="M125" s="379">
        <v>18000</v>
      </c>
      <c r="N125" s="396">
        <f>SUM(B125:M125)</f>
        <v>216000</v>
      </c>
      <c r="O125" s="397">
        <v>216000</v>
      </c>
      <c r="P125" s="271">
        <v>376153.68000000011</v>
      </c>
      <c r="Q125" s="274">
        <f>N125-P125</f>
        <v>-160153.68000000011</v>
      </c>
      <c r="R125" s="398">
        <f t="shared" ref="R125:R138" si="28">O125-N125</f>
        <v>0</v>
      </c>
      <c r="S125" s="477"/>
    </row>
    <row r="126" spans="1:19" s="267" customFormat="1" ht="13">
      <c r="A126" s="420" t="s">
        <v>200</v>
      </c>
      <c r="B126" s="278">
        <v>0</v>
      </c>
      <c r="C126" s="278">
        <v>0</v>
      </c>
      <c r="D126" s="278">
        <v>0</v>
      </c>
      <c r="E126" s="278">
        <v>0</v>
      </c>
      <c r="F126" s="278">
        <v>0</v>
      </c>
      <c r="G126" s="278">
        <v>0</v>
      </c>
      <c r="H126" s="278">
        <v>0</v>
      </c>
      <c r="I126" s="278">
        <v>0</v>
      </c>
      <c r="J126" s="278">
        <v>0</v>
      </c>
      <c r="K126" s="278">
        <v>0</v>
      </c>
      <c r="L126" s="278">
        <v>0</v>
      </c>
      <c r="M126" s="379">
        <v>0</v>
      </c>
      <c r="N126" s="396">
        <f>SUM(B126:M126)</f>
        <v>0</v>
      </c>
      <c r="O126" s="397"/>
      <c r="P126" s="271">
        <v>46507.833333333336</v>
      </c>
      <c r="Q126" s="274">
        <f>N126-P126</f>
        <v>-46507.833333333336</v>
      </c>
      <c r="R126" s="398">
        <f t="shared" si="28"/>
        <v>0</v>
      </c>
      <c r="S126" s="484"/>
    </row>
    <row r="127" spans="1:19" s="267" customFormat="1" ht="13">
      <c r="A127" s="420" t="s">
        <v>201</v>
      </c>
      <c r="B127" s="278">
        <v>12500</v>
      </c>
      <c r="C127" s="278">
        <v>12500</v>
      </c>
      <c r="D127" s="278">
        <v>12500</v>
      </c>
      <c r="E127" s="278">
        <v>12500</v>
      </c>
      <c r="F127" s="278">
        <v>12500</v>
      </c>
      <c r="G127" s="278">
        <v>12500</v>
      </c>
      <c r="H127" s="278">
        <v>12500</v>
      </c>
      <c r="I127" s="278">
        <v>12500</v>
      </c>
      <c r="J127" s="278">
        <v>12500</v>
      </c>
      <c r="K127" s="278">
        <v>12500</v>
      </c>
      <c r="L127" s="278">
        <v>12500</v>
      </c>
      <c r="M127" s="379">
        <v>12500</v>
      </c>
      <c r="N127" s="405">
        <f>SUM(B127:M127)</f>
        <v>150000</v>
      </c>
      <c r="O127" s="406">
        <v>150000</v>
      </c>
      <c r="P127" s="271"/>
      <c r="Q127" s="275"/>
      <c r="R127" s="398">
        <f t="shared" si="28"/>
        <v>0</v>
      </c>
      <c r="S127" s="477"/>
    </row>
    <row r="128" spans="1:19" s="267" customFormat="1" ht="12">
      <c r="A128" s="420"/>
      <c r="B128" s="278">
        <v>0</v>
      </c>
      <c r="C128" s="278">
        <v>0</v>
      </c>
      <c r="D128" s="278">
        <v>0</v>
      </c>
      <c r="E128" s="278">
        <v>0</v>
      </c>
      <c r="F128" s="278">
        <v>0</v>
      </c>
      <c r="G128" s="278">
        <v>0</v>
      </c>
      <c r="H128" s="278">
        <v>0</v>
      </c>
      <c r="I128" s="278">
        <v>0</v>
      </c>
      <c r="J128" s="278">
        <v>0</v>
      </c>
      <c r="K128" s="278">
        <v>0</v>
      </c>
      <c r="L128" s="278">
        <v>0</v>
      </c>
      <c r="M128" s="379">
        <v>0</v>
      </c>
      <c r="N128" s="405">
        <f t="shared" ref="N128:N138" si="29">SUM(B128:M128)</f>
        <v>0</v>
      </c>
      <c r="O128" s="406">
        <v>0</v>
      </c>
      <c r="P128" s="271"/>
      <c r="Q128" s="275"/>
      <c r="R128" s="398">
        <f t="shared" si="28"/>
        <v>0</v>
      </c>
      <c r="S128" s="477"/>
    </row>
    <row r="129" spans="1:19" s="267" customFormat="1" ht="13">
      <c r="A129" s="420" t="s">
        <v>202</v>
      </c>
      <c r="B129" s="278">
        <v>7000</v>
      </c>
      <c r="C129" s="278">
        <v>7000</v>
      </c>
      <c r="D129" s="278">
        <v>7000</v>
      </c>
      <c r="E129" s="278">
        <v>7000</v>
      </c>
      <c r="F129" s="278">
        <v>7000</v>
      </c>
      <c r="G129" s="278">
        <v>7000</v>
      </c>
      <c r="H129" s="278">
        <v>7000</v>
      </c>
      <c r="I129" s="278">
        <v>7000</v>
      </c>
      <c r="J129" s="278">
        <v>7000</v>
      </c>
      <c r="K129" s="278">
        <v>7000</v>
      </c>
      <c r="L129" s="278">
        <v>7000</v>
      </c>
      <c r="M129" s="379">
        <v>7000</v>
      </c>
      <c r="N129" s="405">
        <f t="shared" si="29"/>
        <v>84000</v>
      </c>
      <c r="O129" s="406">
        <v>84000</v>
      </c>
      <c r="P129" s="271"/>
      <c r="Q129" s="275"/>
      <c r="R129" s="398">
        <f t="shared" si="28"/>
        <v>0</v>
      </c>
      <c r="S129" s="477"/>
    </row>
    <row r="130" spans="1:19" s="267" customFormat="1" ht="13">
      <c r="A130" s="420" t="s">
        <v>203</v>
      </c>
      <c r="B130" s="278">
        <v>1700</v>
      </c>
      <c r="C130" s="278">
        <v>1700</v>
      </c>
      <c r="D130" s="278">
        <v>1700</v>
      </c>
      <c r="E130" s="278">
        <v>1700</v>
      </c>
      <c r="F130" s="278">
        <v>1700</v>
      </c>
      <c r="G130" s="278">
        <v>1700</v>
      </c>
      <c r="H130" s="278">
        <v>1700</v>
      </c>
      <c r="I130" s="278">
        <v>1700</v>
      </c>
      <c r="J130" s="278">
        <v>1700</v>
      </c>
      <c r="K130" s="278">
        <v>1700</v>
      </c>
      <c r="L130" s="278">
        <v>1700</v>
      </c>
      <c r="M130" s="379">
        <v>1700</v>
      </c>
      <c r="N130" s="405">
        <f>SUM(B130:M130)</f>
        <v>20400</v>
      </c>
      <c r="O130" s="406">
        <v>20400</v>
      </c>
      <c r="P130" s="271"/>
      <c r="Q130" s="275"/>
      <c r="R130" s="398">
        <f t="shared" si="28"/>
        <v>0</v>
      </c>
      <c r="S130" s="477"/>
    </row>
    <row r="131" spans="1:19" s="267" customFormat="1" ht="13">
      <c r="A131" s="420" t="s">
        <v>204</v>
      </c>
      <c r="B131" s="278">
        <v>4000</v>
      </c>
      <c r="C131" s="278">
        <v>4000</v>
      </c>
      <c r="D131" s="278">
        <v>4000</v>
      </c>
      <c r="E131" s="278">
        <v>4000</v>
      </c>
      <c r="F131" s="278">
        <v>4000</v>
      </c>
      <c r="G131" s="278">
        <v>4000</v>
      </c>
      <c r="H131" s="278">
        <v>4000</v>
      </c>
      <c r="I131" s="278">
        <v>4000</v>
      </c>
      <c r="J131" s="278">
        <v>4000</v>
      </c>
      <c r="K131" s="278">
        <v>4000</v>
      </c>
      <c r="L131" s="278">
        <v>4000</v>
      </c>
      <c r="M131" s="379">
        <v>4000</v>
      </c>
      <c r="N131" s="405">
        <f t="shared" si="29"/>
        <v>48000</v>
      </c>
      <c r="O131" s="406">
        <v>48000</v>
      </c>
      <c r="P131" s="271"/>
      <c r="Q131" s="275"/>
      <c r="R131" s="398">
        <f t="shared" si="28"/>
        <v>0</v>
      </c>
      <c r="S131" s="477"/>
    </row>
    <row r="132" spans="1:19" s="267" customFormat="1" ht="13">
      <c r="A132" s="420" t="s">
        <v>205</v>
      </c>
      <c r="B132" s="278">
        <v>500</v>
      </c>
      <c r="C132" s="278">
        <v>500</v>
      </c>
      <c r="D132" s="278">
        <v>500</v>
      </c>
      <c r="E132" s="278">
        <v>500</v>
      </c>
      <c r="F132" s="278">
        <v>500</v>
      </c>
      <c r="G132" s="278">
        <v>500</v>
      </c>
      <c r="H132" s="278">
        <v>500</v>
      </c>
      <c r="I132" s="278">
        <v>500</v>
      </c>
      <c r="J132" s="278">
        <v>500</v>
      </c>
      <c r="K132" s="278">
        <v>500</v>
      </c>
      <c r="L132" s="278">
        <v>500</v>
      </c>
      <c r="M132" s="379">
        <v>500</v>
      </c>
      <c r="N132" s="405">
        <f t="shared" si="29"/>
        <v>6000</v>
      </c>
      <c r="O132" s="406">
        <v>6000</v>
      </c>
      <c r="P132" s="271"/>
      <c r="Q132" s="275"/>
      <c r="R132" s="398">
        <f t="shared" si="28"/>
        <v>0</v>
      </c>
      <c r="S132" s="477"/>
    </row>
    <row r="133" spans="1:19" s="267" customFormat="1" ht="13">
      <c r="A133" s="420" t="s">
        <v>206</v>
      </c>
      <c r="B133" s="278">
        <v>2000</v>
      </c>
      <c r="C133" s="278">
        <v>2000</v>
      </c>
      <c r="D133" s="278">
        <v>2000</v>
      </c>
      <c r="E133" s="278">
        <v>2000</v>
      </c>
      <c r="F133" s="278">
        <v>2000</v>
      </c>
      <c r="G133" s="278">
        <v>2000</v>
      </c>
      <c r="H133" s="278">
        <v>2000</v>
      </c>
      <c r="I133" s="278">
        <v>2000</v>
      </c>
      <c r="J133" s="278">
        <v>2000</v>
      </c>
      <c r="K133" s="278">
        <v>2000</v>
      </c>
      <c r="L133" s="278">
        <v>2000</v>
      </c>
      <c r="M133" s="379">
        <v>2000</v>
      </c>
      <c r="N133" s="405">
        <f t="shared" si="29"/>
        <v>24000</v>
      </c>
      <c r="O133" s="406">
        <v>24000</v>
      </c>
      <c r="P133" s="271"/>
      <c r="Q133" s="275"/>
      <c r="R133" s="398">
        <f t="shared" si="28"/>
        <v>0</v>
      </c>
      <c r="S133" s="477"/>
    </row>
    <row r="134" spans="1:19" s="267" customFormat="1" ht="13">
      <c r="A134" s="420" t="s">
        <v>207</v>
      </c>
      <c r="B134" s="278">
        <v>2000</v>
      </c>
      <c r="C134" s="278">
        <v>2000</v>
      </c>
      <c r="D134" s="278">
        <v>2000</v>
      </c>
      <c r="E134" s="278">
        <v>2000</v>
      </c>
      <c r="F134" s="278">
        <v>2000</v>
      </c>
      <c r="G134" s="278">
        <v>2000</v>
      </c>
      <c r="H134" s="278">
        <v>2000</v>
      </c>
      <c r="I134" s="278">
        <v>2000</v>
      </c>
      <c r="J134" s="278">
        <v>2000</v>
      </c>
      <c r="K134" s="278">
        <v>2000</v>
      </c>
      <c r="L134" s="278">
        <v>2000</v>
      </c>
      <c r="M134" s="379">
        <v>2000</v>
      </c>
      <c r="N134" s="405">
        <f>SUM(B134:M134)</f>
        <v>24000</v>
      </c>
      <c r="O134" s="406">
        <v>24000</v>
      </c>
      <c r="P134" s="271"/>
      <c r="Q134" s="275"/>
      <c r="R134" s="398">
        <f t="shared" si="28"/>
        <v>0</v>
      </c>
      <c r="S134" s="477"/>
    </row>
    <row r="135" spans="1:19" s="267" customFormat="1" ht="13">
      <c r="A135" s="420" t="s">
        <v>208</v>
      </c>
      <c r="B135" s="278">
        <v>4000</v>
      </c>
      <c r="C135" s="278">
        <v>4000</v>
      </c>
      <c r="D135" s="278">
        <v>4000</v>
      </c>
      <c r="E135" s="278">
        <v>4000</v>
      </c>
      <c r="F135" s="278">
        <v>4000</v>
      </c>
      <c r="G135" s="278">
        <v>4000</v>
      </c>
      <c r="H135" s="278">
        <v>4000</v>
      </c>
      <c r="I135" s="278">
        <v>4000</v>
      </c>
      <c r="J135" s="278">
        <v>4000</v>
      </c>
      <c r="K135" s="278">
        <v>4000</v>
      </c>
      <c r="L135" s="278">
        <v>4000</v>
      </c>
      <c r="M135" s="379">
        <v>4000</v>
      </c>
      <c r="N135" s="405">
        <f>SUM(B135:M135)</f>
        <v>48000</v>
      </c>
      <c r="O135" s="406">
        <v>48000</v>
      </c>
      <c r="P135" s="271"/>
      <c r="Q135" s="275"/>
      <c r="R135" s="398">
        <f t="shared" si="28"/>
        <v>0</v>
      </c>
      <c r="S135" s="477"/>
    </row>
    <row r="136" spans="1:19" s="267" customFormat="1" ht="13">
      <c r="A136" s="420" t="s">
        <v>209</v>
      </c>
      <c r="B136" s="278">
        <v>3000</v>
      </c>
      <c r="C136" s="278">
        <v>3000</v>
      </c>
      <c r="D136" s="278">
        <v>3000</v>
      </c>
      <c r="E136" s="278">
        <v>3000</v>
      </c>
      <c r="F136" s="278">
        <v>3000</v>
      </c>
      <c r="G136" s="278">
        <v>3000</v>
      </c>
      <c r="H136" s="278">
        <v>3000</v>
      </c>
      <c r="I136" s="278">
        <v>3000</v>
      </c>
      <c r="J136" s="278">
        <v>3000</v>
      </c>
      <c r="K136" s="278">
        <v>3000</v>
      </c>
      <c r="L136" s="278">
        <v>3000</v>
      </c>
      <c r="M136" s="379">
        <v>3000</v>
      </c>
      <c r="N136" s="405">
        <f>SUM(B136:M136)</f>
        <v>36000</v>
      </c>
      <c r="O136" s="406">
        <v>36000</v>
      </c>
      <c r="P136" s="271"/>
      <c r="Q136" s="275"/>
      <c r="R136" s="398">
        <f t="shared" si="28"/>
        <v>0</v>
      </c>
      <c r="S136" s="477"/>
    </row>
    <row r="137" spans="1:19" s="267" customFormat="1" ht="13">
      <c r="A137" s="420" t="s">
        <v>210</v>
      </c>
      <c r="B137" s="278">
        <v>0</v>
      </c>
      <c r="C137" s="271">
        <v>0</v>
      </c>
      <c r="D137" s="271">
        <v>0</v>
      </c>
      <c r="E137" s="271">
        <v>0</v>
      </c>
      <c r="F137" s="271">
        <v>0</v>
      </c>
      <c r="G137" s="271">
        <v>0</v>
      </c>
      <c r="H137" s="271">
        <v>0</v>
      </c>
      <c r="I137" s="271">
        <v>0</v>
      </c>
      <c r="J137" s="271">
        <f>'Payroll Worksheet'!AH23</f>
        <v>0</v>
      </c>
      <c r="K137" s="271">
        <f>'Payroll Worksheet'!AI23</f>
        <v>0</v>
      </c>
      <c r="L137" s="271">
        <f>'Payroll Worksheet'!AJ23</f>
        <v>0</v>
      </c>
      <c r="M137" s="379">
        <f>'Payroll Worksheet'!AK23</f>
        <v>0</v>
      </c>
      <c r="N137" s="405">
        <f t="shared" si="29"/>
        <v>0</v>
      </c>
      <c r="O137" s="406">
        <v>0</v>
      </c>
      <c r="P137" s="271">
        <v>891.46</v>
      </c>
      <c r="Q137" s="274">
        <f>N137-P137</f>
        <v>-891.46</v>
      </c>
      <c r="R137" s="398">
        <f t="shared" si="28"/>
        <v>0</v>
      </c>
      <c r="S137" s="477"/>
    </row>
    <row r="138" spans="1:19" s="267" customFormat="1" ht="13">
      <c r="A138" s="420" t="s">
        <v>211</v>
      </c>
      <c r="B138" s="278">
        <v>0</v>
      </c>
      <c r="C138" s="271">
        <v>0</v>
      </c>
      <c r="D138" s="271">
        <v>0</v>
      </c>
      <c r="E138" s="271">
        <v>0</v>
      </c>
      <c r="F138" s="271">
        <v>0</v>
      </c>
      <c r="G138" s="271">
        <v>0</v>
      </c>
      <c r="H138" s="271">
        <v>0</v>
      </c>
      <c r="I138" s="271">
        <v>0</v>
      </c>
      <c r="J138" s="271">
        <f>'Payroll Worksheet'!AH21</f>
        <v>0</v>
      </c>
      <c r="K138" s="271">
        <f>'Payroll Worksheet'!AI21</f>
        <v>0</v>
      </c>
      <c r="L138" s="271">
        <f>'Payroll Worksheet'!AJ21</f>
        <v>0</v>
      </c>
      <c r="M138" s="379">
        <f>'Payroll Worksheet'!AK21</f>
        <v>0</v>
      </c>
      <c r="N138" s="405">
        <f t="shared" si="29"/>
        <v>0</v>
      </c>
      <c r="O138" s="406">
        <v>0</v>
      </c>
      <c r="P138" s="271">
        <v>11652.939999999999</v>
      </c>
      <c r="Q138" s="274">
        <f>N138-P138</f>
        <v>-11652.939999999999</v>
      </c>
      <c r="R138" s="398">
        <f t="shared" si="28"/>
        <v>0</v>
      </c>
      <c r="S138" s="477"/>
    </row>
    <row r="139" spans="1:19" s="267" customFormat="1" ht="13">
      <c r="A139" s="420" t="s">
        <v>212</v>
      </c>
      <c r="B139" s="278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379"/>
      <c r="N139" s="405"/>
      <c r="O139" s="406"/>
      <c r="P139" s="271"/>
      <c r="Q139" s="274"/>
      <c r="R139" s="398"/>
      <c r="S139" s="477"/>
    </row>
    <row r="140" spans="1:19" s="267" customFormat="1" ht="13">
      <c r="A140" s="420" t="s">
        <v>213</v>
      </c>
      <c r="B140" s="278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379"/>
      <c r="N140" s="405"/>
      <c r="O140" s="406"/>
      <c r="P140" s="271"/>
      <c r="Q140" s="274"/>
      <c r="R140" s="398"/>
      <c r="S140" s="477"/>
    </row>
    <row r="141" spans="1:19" s="267" customFormat="1" ht="13">
      <c r="A141" s="437" t="s">
        <v>214</v>
      </c>
      <c r="B141" s="276">
        <f t="shared" ref="B141:H141" si="30">SUM(B125:B140)</f>
        <v>54700</v>
      </c>
      <c r="C141" s="276">
        <f t="shared" si="30"/>
        <v>54700</v>
      </c>
      <c r="D141" s="276">
        <f t="shared" si="30"/>
        <v>54700</v>
      </c>
      <c r="E141" s="276">
        <f t="shared" si="30"/>
        <v>54700</v>
      </c>
      <c r="F141" s="276">
        <f t="shared" si="30"/>
        <v>54700</v>
      </c>
      <c r="G141" s="276">
        <f t="shared" si="30"/>
        <v>54700</v>
      </c>
      <c r="H141" s="276">
        <f t="shared" si="30"/>
        <v>54700</v>
      </c>
      <c r="I141" s="276">
        <f>SUM(I125:I140)</f>
        <v>54700</v>
      </c>
      <c r="J141" s="276">
        <f>SUM(J125:J140)</f>
        <v>54700</v>
      </c>
      <c r="K141" s="276">
        <f>SUM(K125:K140)</f>
        <v>54700</v>
      </c>
      <c r="L141" s="276">
        <f>SUM(L125:L140)</f>
        <v>54700</v>
      </c>
      <c r="M141" s="380">
        <f>N128+SUM(M125:M140)</f>
        <v>54700</v>
      </c>
      <c r="N141" s="400">
        <f>SUM(B141:M141)</f>
        <v>656400</v>
      </c>
      <c r="O141" s="401">
        <f>SUM(O125:O140)</f>
        <v>656400</v>
      </c>
      <c r="P141" s="276">
        <v>435205.91333333345</v>
      </c>
      <c r="Q141" s="276">
        <f>N141-P141</f>
        <v>221194.08666666655</v>
      </c>
      <c r="R141" s="398">
        <f>O141-N141</f>
        <v>0</v>
      </c>
      <c r="S141" s="484"/>
    </row>
    <row r="142" spans="1:19" s="267" customFormat="1" ht="6" customHeight="1" thickBot="1">
      <c r="A142" s="419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384"/>
      <c r="N142" s="396"/>
      <c r="O142" s="397"/>
      <c r="P142" s="133"/>
      <c r="Q142" s="133"/>
      <c r="R142" s="398"/>
      <c r="S142" s="477"/>
    </row>
    <row r="143" spans="1:19" s="458" customFormat="1" ht="14" thickTop="1">
      <c r="A143" s="445" t="s">
        <v>107</v>
      </c>
      <c r="B143" s="453">
        <f t="shared" ref="B143" si="31">B60+B81+B91+B117+B122+B141</f>
        <v>104750</v>
      </c>
      <c r="C143" s="446">
        <f>C60+C81+C91+C117+C122+C141</f>
        <v>114850</v>
      </c>
      <c r="D143" s="446">
        <f t="shared" ref="D143:E143" si="32">D60+D81+D91+D117+D122+D141</f>
        <v>88650</v>
      </c>
      <c r="E143" s="446">
        <f t="shared" si="32"/>
        <v>93250</v>
      </c>
      <c r="F143" s="446">
        <f t="shared" ref="F143:M143" si="33">F60+F81+F91+F117+F122+F141</f>
        <v>129850</v>
      </c>
      <c r="G143" s="446">
        <f t="shared" si="33"/>
        <v>96750</v>
      </c>
      <c r="H143" s="446">
        <f t="shared" si="33"/>
        <v>142150</v>
      </c>
      <c r="I143" s="446">
        <f t="shared" si="33"/>
        <v>107550</v>
      </c>
      <c r="J143" s="446">
        <f t="shared" si="33"/>
        <v>134950</v>
      </c>
      <c r="K143" s="446">
        <f t="shared" si="33"/>
        <v>146050</v>
      </c>
      <c r="L143" s="446">
        <f t="shared" si="33"/>
        <v>104950</v>
      </c>
      <c r="M143" s="447">
        <f t="shared" si="33"/>
        <v>110950</v>
      </c>
      <c r="N143" s="454">
        <f>SUM(B143:M143)</f>
        <v>1374700</v>
      </c>
      <c r="O143" s="455">
        <f>O60+O81+O91+O117+O122+O141</f>
        <v>1432200</v>
      </c>
      <c r="P143" s="453">
        <v>791196.94333333336</v>
      </c>
      <c r="Q143" s="456">
        <f>N143-P143</f>
        <v>583503.05666666664</v>
      </c>
      <c r="R143" s="457">
        <f>O143-N143</f>
        <v>57500</v>
      </c>
      <c r="S143" s="485"/>
    </row>
    <row r="144" spans="1:19" s="368" customFormat="1" ht="13" thickBot="1">
      <c r="A144" s="419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386"/>
      <c r="N144" s="396"/>
      <c r="O144" s="397"/>
      <c r="P144" s="285"/>
      <c r="Q144" s="285"/>
      <c r="R144" s="398"/>
      <c r="S144" s="478"/>
    </row>
    <row r="145" spans="1:19" s="466" customFormat="1" ht="14" thickBot="1">
      <c r="A145" s="459" t="s">
        <v>108</v>
      </c>
      <c r="B145" s="460">
        <f t="shared" ref="B145:O145" si="34">B48-B143</f>
        <v>12750</v>
      </c>
      <c r="C145" s="460">
        <f t="shared" si="34"/>
        <v>-2650</v>
      </c>
      <c r="D145" s="460">
        <f t="shared" si="34"/>
        <v>18500</v>
      </c>
      <c r="E145" s="460">
        <f t="shared" si="34"/>
        <v>28850</v>
      </c>
      <c r="F145" s="460">
        <f t="shared" si="34"/>
        <v>40750</v>
      </c>
      <c r="G145" s="460">
        <f t="shared" si="34"/>
        <v>80500</v>
      </c>
      <c r="H145" s="460">
        <f t="shared" si="34"/>
        <v>135350</v>
      </c>
      <c r="I145" s="460">
        <f t="shared" si="34"/>
        <v>105950</v>
      </c>
      <c r="J145" s="460">
        <f t="shared" si="34"/>
        <v>72850</v>
      </c>
      <c r="K145" s="460">
        <f t="shared" si="34"/>
        <v>256950</v>
      </c>
      <c r="L145" s="460">
        <f t="shared" si="34"/>
        <v>144950</v>
      </c>
      <c r="M145" s="461">
        <f t="shared" si="34"/>
        <v>195450</v>
      </c>
      <c r="N145" s="462">
        <f t="shared" si="34"/>
        <v>1090200</v>
      </c>
      <c r="O145" s="463">
        <f t="shared" si="34"/>
        <v>900700</v>
      </c>
      <c r="P145" s="460">
        <v>388579.43666666653</v>
      </c>
      <c r="Q145" s="464"/>
      <c r="R145" s="465">
        <f>O145-N145</f>
        <v>-189500</v>
      </c>
      <c r="S145" s="486"/>
    </row>
    <row r="146" spans="1:19" s="267" customFormat="1" ht="12">
      <c r="A146" s="420"/>
      <c r="B146" s="413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387"/>
      <c r="N146" s="396"/>
      <c r="O146" s="397"/>
      <c r="P146" s="133"/>
      <c r="Q146" s="133"/>
      <c r="R146" s="394"/>
      <c r="S146" s="477"/>
    </row>
    <row r="147" spans="1:19" s="285" customFormat="1" ht="12">
      <c r="A147" s="427" t="s">
        <v>215</v>
      </c>
      <c r="B147" s="287">
        <v>160000</v>
      </c>
      <c r="C147" s="275">
        <f t="shared" ref="C147:M147" si="35">B149</f>
        <v>172750</v>
      </c>
      <c r="D147" s="371">
        <f t="shared" si="35"/>
        <v>170100</v>
      </c>
      <c r="E147" s="275">
        <f t="shared" si="35"/>
        <v>188600</v>
      </c>
      <c r="F147" s="275">
        <f t="shared" si="35"/>
        <v>217450</v>
      </c>
      <c r="G147" s="275">
        <f t="shared" si="35"/>
        <v>258200</v>
      </c>
      <c r="H147" s="275">
        <f t="shared" si="35"/>
        <v>338700</v>
      </c>
      <c r="I147" s="275">
        <f t="shared" si="35"/>
        <v>474050</v>
      </c>
      <c r="J147" s="275">
        <f t="shared" si="35"/>
        <v>580000</v>
      </c>
      <c r="K147" s="275">
        <f t="shared" si="35"/>
        <v>652850</v>
      </c>
      <c r="L147" s="275">
        <f t="shared" si="35"/>
        <v>909800</v>
      </c>
      <c r="M147" s="383">
        <f t="shared" si="35"/>
        <v>1054750</v>
      </c>
      <c r="N147" s="396"/>
      <c r="O147" s="397"/>
      <c r="P147" s="275" t="e">
        <f>P133+#REF!+P73</f>
        <v>#REF!</v>
      </c>
      <c r="Q147" s="275"/>
      <c r="R147" s="394"/>
      <c r="S147" s="487"/>
    </row>
    <row r="148" spans="1:19" s="267" customFormat="1" ht="12">
      <c r="A148" s="421"/>
      <c r="B148" s="414"/>
      <c r="C148" s="273"/>
      <c r="D148" s="371"/>
      <c r="E148" s="273"/>
      <c r="F148" s="273"/>
      <c r="G148" s="273"/>
      <c r="H148" s="273"/>
      <c r="I148" s="273"/>
      <c r="J148" s="273"/>
      <c r="K148" s="273"/>
      <c r="L148" s="273"/>
      <c r="M148" s="385"/>
      <c r="N148" s="396"/>
      <c r="O148" s="397"/>
      <c r="P148" s="133"/>
      <c r="Q148" s="133"/>
      <c r="R148" s="394"/>
      <c r="S148" s="477"/>
    </row>
    <row r="149" spans="1:19" s="376" customFormat="1" ht="12">
      <c r="A149" s="428" t="s">
        <v>216</v>
      </c>
      <c r="B149" s="415">
        <f>B145+B147</f>
        <v>172750</v>
      </c>
      <c r="C149" s="374">
        <f t="shared" ref="C149:M149" si="36">C145+C147</f>
        <v>170100</v>
      </c>
      <c r="D149" s="375">
        <f t="shared" si="36"/>
        <v>188600</v>
      </c>
      <c r="E149" s="374">
        <f t="shared" si="36"/>
        <v>217450</v>
      </c>
      <c r="F149" s="374">
        <f t="shared" si="36"/>
        <v>258200</v>
      </c>
      <c r="G149" s="374">
        <f t="shared" si="36"/>
        <v>338700</v>
      </c>
      <c r="H149" s="374">
        <f t="shared" si="36"/>
        <v>474050</v>
      </c>
      <c r="I149" s="374">
        <f t="shared" si="36"/>
        <v>580000</v>
      </c>
      <c r="J149" s="374">
        <f t="shared" si="36"/>
        <v>652850</v>
      </c>
      <c r="K149" s="374">
        <f t="shared" si="36"/>
        <v>909800</v>
      </c>
      <c r="L149" s="374">
        <f t="shared" si="36"/>
        <v>1054750</v>
      </c>
      <c r="M149" s="390">
        <f t="shared" si="36"/>
        <v>1250200</v>
      </c>
      <c r="N149" s="396"/>
      <c r="O149" s="397"/>
      <c r="P149" s="373"/>
      <c r="Q149" s="373"/>
      <c r="R149" s="394"/>
      <c r="S149" s="488"/>
    </row>
    <row r="150" spans="1:19" s="267" customFormat="1" ht="26">
      <c r="A150" s="419" t="s">
        <v>217</v>
      </c>
      <c r="B150" s="416"/>
      <c r="C150" s="269"/>
      <c r="D150" s="371"/>
      <c r="E150" s="269"/>
      <c r="F150" s="269"/>
      <c r="G150" s="269"/>
      <c r="H150" s="269"/>
      <c r="I150" s="269"/>
      <c r="J150" s="269"/>
      <c r="K150" s="269"/>
      <c r="L150" s="269"/>
      <c r="M150" s="391"/>
      <c r="N150" s="395"/>
      <c r="O150" s="411"/>
      <c r="P150" s="133"/>
      <c r="Q150" s="133"/>
      <c r="R150" s="394"/>
      <c r="S150" s="477"/>
    </row>
    <row r="151" spans="1:19">
      <c r="A151" s="417"/>
      <c r="B151" s="294"/>
      <c r="C151" s="294"/>
      <c r="D151" s="371"/>
      <c r="E151" s="301"/>
      <c r="F151" s="301"/>
      <c r="G151" s="301"/>
      <c r="H151" s="301"/>
      <c r="I151" s="301"/>
      <c r="J151" s="301"/>
      <c r="K151" s="301"/>
      <c r="L151" s="301"/>
      <c r="M151" s="301"/>
      <c r="N151" s="412"/>
      <c r="S151" s="476"/>
    </row>
    <row r="152" spans="1:19">
      <c r="A152" s="417"/>
      <c r="B152" s="294"/>
      <c r="C152" s="294"/>
      <c r="D152" s="371"/>
      <c r="E152" s="294"/>
      <c r="F152" s="294"/>
      <c r="G152" s="294"/>
      <c r="H152" s="294"/>
      <c r="I152" s="294"/>
      <c r="J152" s="294"/>
      <c r="K152" s="294"/>
      <c r="L152" s="294"/>
      <c r="M152" s="294"/>
      <c r="S152" s="476"/>
    </row>
    <row r="153" spans="1:19">
      <c r="A153" s="419"/>
      <c r="B153" s="294"/>
      <c r="C153" s="294"/>
      <c r="D153" s="371"/>
      <c r="E153" s="294"/>
      <c r="F153" s="372"/>
      <c r="G153" s="294"/>
      <c r="H153" s="294"/>
      <c r="I153" s="294"/>
      <c r="J153" s="294"/>
      <c r="K153" s="294"/>
      <c r="L153" s="294"/>
      <c r="M153" s="294"/>
      <c r="S153" s="476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C345-7E18-C941-A6CB-DBCE8BDB37ED}">
  <dimension ref="A1:D15"/>
  <sheetViews>
    <sheetView zoomScale="233" zoomScaleNormal="233" workbookViewId="0">
      <selection activeCell="A7" sqref="A7:XFD7"/>
    </sheetView>
  </sheetViews>
  <sheetFormatPr baseColWidth="10" defaultColWidth="11.5" defaultRowHeight="15"/>
  <cols>
    <col min="1" max="1" width="19.6640625" customWidth="1"/>
    <col min="2" max="2" width="11.1640625" style="171" bestFit="1" customWidth="1"/>
    <col min="3" max="3" width="12.33203125" customWidth="1"/>
    <col min="4" max="4" width="11.5" style="76"/>
  </cols>
  <sheetData>
    <row r="1" spans="1:4" s="25" customFormat="1" ht="16">
      <c r="A1" s="116" t="s">
        <v>472</v>
      </c>
      <c r="B1" s="173" t="s">
        <v>473</v>
      </c>
      <c r="C1" s="174" t="s">
        <v>474</v>
      </c>
      <c r="D1" s="177" t="s">
        <v>475</v>
      </c>
    </row>
    <row r="2" spans="1:4" ht="16">
      <c r="A2" s="473" t="s">
        <v>476</v>
      </c>
      <c r="B2" s="171">
        <v>10000</v>
      </c>
      <c r="C2" s="288" t="s">
        <v>477</v>
      </c>
      <c r="D2" s="76" t="s">
        <v>478</v>
      </c>
    </row>
    <row r="3" spans="1:4" ht="48">
      <c r="A3" s="475" t="s">
        <v>479</v>
      </c>
      <c r="B3" s="171">
        <v>10000</v>
      </c>
      <c r="C3" s="288" t="s">
        <v>480</v>
      </c>
      <c r="D3" s="474" t="s">
        <v>481</v>
      </c>
    </row>
    <row r="4" spans="1:4" ht="16">
      <c r="A4" s="473" t="s">
        <v>482</v>
      </c>
      <c r="B4" s="171">
        <v>12000</v>
      </c>
      <c r="C4" s="288" t="s">
        <v>483</v>
      </c>
      <c r="D4" s="76" t="s">
        <v>484</v>
      </c>
    </row>
    <row r="5" spans="1:4" ht="16">
      <c r="A5" s="288" t="s">
        <v>485</v>
      </c>
      <c r="B5" s="171">
        <v>1250</v>
      </c>
      <c r="C5" s="288" t="s">
        <v>486</v>
      </c>
      <c r="D5" s="76" t="s">
        <v>487</v>
      </c>
    </row>
    <row r="6" spans="1:4" ht="16">
      <c r="A6" s="288" t="s">
        <v>488</v>
      </c>
      <c r="B6" s="171">
        <v>1250</v>
      </c>
      <c r="C6" s="288" t="s">
        <v>489</v>
      </c>
      <c r="D6" s="76" t="s">
        <v>490</v>
      </c>
    </row>
    <row r="7" spans="1:4" ht="16">
      <c r="A7" s="475" t="s">
        <v>491</v>
      </c>
      <c r="B7" s="171">
        <v>10000</v>
      </c>
      <c r="C7" s="288" t="s">
        <v>492</v>
      </c>
      <c r="D7" s="76" t="s">
        <v>493</v>
      </c>
    </row>
    <row r="8" spans="1:4" ht="16">
      <c r="A8" s="473" t="s">
        <v>494</v>
      </c>
      <c r="B8" s="171">
        <v>2000</v>
      </c>
      <c r="C8" s="288" t="s">
        <v>495</v>
      </c>
      <c r="D8" s="76" t="s">
        <v>496</v>
      </c>
    </row>
    <row r="9" spans="1:4">
      <c r="A9" s="473" t="s">
        <v>497</v>
      </c>
      <c r="C9" s="288" t="s">
        <v>498</v>
      </c>
    </row>
    <row r="10" spans="1:4">
      <c r="A10" s="473" t="s">
        <v>499</v>
      </c>
      <c r="C10" s="288" t="s">
        <v>500</v>
      </c>
    </row>
    <row r="11" spans="1:4" s="170" customFormat="1">
      <c r="A11" s="288"/>
      <c r="B11" s="171"/>
      <c r="C11" s="288"/>
      <c r="D11" s="76"/>
    </row>
    <row r="12" spans="1:4" s="170" customFormat="1">
      <c r="A12" s="288"/>
      <c r="B12" s="171"/>
      <c r="C12" s="288"/>
      <c r="D12" s="76"/>
    </row>
    <row r="15" spans="1:4">
      <c r="A15" s="3" t="s">
        <v>279</v>
      </c>
      <c r="B15" s="172">
        <f>SUM(B2:B14)</f>
        <v>46500</v>
      </c>
      <c r="C15" s="28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5F310-90CA-A94F-BF16-31575978966A}">
  <dimension ref="A1:F9"/>
  <sheetViews>
    <sheetView topLeftCell="A2" zoomScale="150" zoomScaleNormal="150" workbookViewId="0">
      <selection activeCell="A9" sqref="A9:C9"/>
    </sheetView>
  </sheetViews>
  <sheetFormatPr baseColWidth="10" defaultColWidth="11.5" defaultRowHeight="15"/>
  <cols>
    <col min="1" max="1" width="13" customWidth="1"/>
  </cols>
  <sheetData>
    <row r="1" spans="1:6" s="3" customFormat="1">
      <c r="A1" s="3" t="s">
        <v>501</v>
      </c>
      <c r="B1" s="3" t="s">
        <v>502</v>
      </c>
      <c r="C1" s="3" t="s">
        <v>503</v>
      </c>
      <c r="E1" s="3" t="s">
        <v>504</v>
      </c>
      <c r="F1" s="3" t="s">
        <v>505</v>
      </c>
    </row>
    <row r="2" spans="1:6">
      <c r="A2" s="288">
        <v>8</v>
      </c>
      <c r="B2" s="288">
        <v>3</v>
      </c>
      <c r="C2" s="288"/>
      <c r="D2" s="288"/>
      <c r="E2" s="288"/>
      <c r="F2" s="288"/>
    </row>
    <row r="4" spans="1:6">
      <c r="A4" s="288" t="s">
        <v>506</v>
      </c>
      <c r="B4" s="288">
        <v>75</v>
      </c>
      <c r="C4" s="288">
        <f>A2*B4*B2</f>
        <v>1800</v>
      </c>
      <c r="D4" s="288"/>
      <c r="E4" s="288"/>
      <c r="F4" s="288"/>
    </row>
    <row r="5" spans="1:6">
      <c r="A5" s="288" t="s">
        <v>507</v>
      </c>
      <c r="B5" s="288">
        <v>10</v>
      </c>
      <c r="C5" s="288">
        <f>A2*B5*B2</f>
        <v>240</v>
      </c>
      <c r="D5" s="288"/>
      <c r="E5" s="288"/>
      <c r="F5" s="288"/>
    </row>
    <row r="6" spans="1:6">
      <c r="A6" s="288" t="s">
        <v>504</v>
      </c>
      <c r="B6" s="288">
        <v>75</v>
      </c>
      <c r="C6" s="288">
        <f>A2*0.5*B6</f>
        <v>300</v>
      </c>
      <c r="D6" s="288"/>
      <c r="E6" s="288"/>
      <c r="F6" s="288"/>
    </row>
    <row r="7" spans="1:6">
      <c r="A7" s="288" t="s">
        <v>505</v>
      </c>
      <c r="B7" s="288">
        <v>75</v>
      </c>
      <c r="C7" s="288">
        <f>B7*0.5*A2</f>
        <v>300</v>
      </c>
      <c r="D7" s="288"/>
      <c r="E7" s="288"/>
      <c r="F7" s="288"/>
    </row>
    <row r="9" spans="1:6">
      <c r="A9" s="3" t="s">
        <v>503</v>
      </c>
      <c r="B9" s="3"/>
      <c r="C9" s="3">
        <f>SUM(C4:C8)</f>
        <v>2640</v>
      </c>
      <c r="D9" s="288"/>
      <c r="E9" s="288"/>
      <c r="F9" s="28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1F1C-6AB9-4A45-9561-135DF1B384DF}">
  <dimension ref="A2:G13"/>
  <sheetViews>
    <sheetView zoomScale="170" zoomScaleNormal="170" workbookViewId="0">
      <selection activeCell="H3" sqref="H3"/>
    </sheetView>
  </sheetViews>
  <sheetFormatPr baseColWidth="10" defaultColWidth="15.83203125" defaultRowHeight="15"/>
  <cols>
    <col min="1" max="16384" width="15.83203125" style="178"/>
  </cols>
  <sheetData>
    <row r="2" spans="1:7">
      <c r="A2" s="180" t="s">
        <v>508</v>
      </c>
      <c r="B2" s="708"/>
      <c r="C2" s="708"/>
      <c r="D2" s="708"/>
      <c r="E2" s="708"/>
      <c r="F2" s="708"/>
      <c r="G2" s="708"/>
    </row>
    <row r="3" spans="1:7" s="177" customFormat="1" ht="32">
      <c r="A3" s="177" t="s">
        <v>509</v>
      </c>
      <c r="B3" s="177" t="s">
        <v>510</v>
      </c>
      <c r="C3" s="177" t="s">
        <v>511</v>
      </c>
      <c r="D3" s="177" t="s">
        <v>512</v>
      </c>
      <c r="E3" s="177" t="s">
        <v>513</v>
      </c>
      <c r="F3" s="177" t="s">
        <v>514</v>
      </c>
      <c r="G3" s="177" t="s">
        <v>515</v>
      </c>
    </row>
    <row r="4" spans="1:7">
      <c r="A4" s="179" t="s">
        <v>516</v>
      </c>
      <c r="B4" s="179" t="s">
        <v>517</v>
      </c>
      <c r="C4" s="179" t="s">
        <v>518</v>
      </c>
      <c r="D4" s="179" t="s">
        <v>519</v>
      </c>
      <c r="E4" s="179" t="s">
        <v>520</v>
      </c>
      <c r="F4" s="179" t="s">
        <v>521</v>
      </c>
      <c r="G4" s="179" t="s">
        <v>522</v>
      </c>
    </row>
    <row r="5" spans="1:7">
      <c r="A5" s="179" t="s">
        <v>523</v>
      </c>
      <c r="B5" s="179" t="s">
        <v>524</v>
      </c>
      <c r="C5" s="179" t="s">
        <v>525</v>
      </c>
      <c r="D5" s="179" t="s">
        <v>526</v>
      </c>
      <c r="E5" s="179" t="s">
        <v>527</v>
      </c>
      <c r="F5" s="179" t="s">
        <v>528</v>
      </c>
      <c r="G5" s="179" t="s">
        <v>529</v>
      </c>
    </row>
    <row r="6" spans="1:7">
      <c r="A6" s="179" t="s">
        <v>530</v>
      </c>
      <c r="B6" s="179" t="s">
        <v>531</v>
      </c>
      <c r="C6" s="179" t="s">
        <v>532</v>
      </c>
      <c r="D6" s="179" t="s">
        <v>533</v>
      </c>
      <c r="E6" s="708"/>
      <c r="F6" s="179" t="s">
        <v>534</v>
      </c>
      <c r="G6" s="179" t="s">
        <v>535</v>
      </c>
    </row>
    <row r="7" spans="1:7">
      <c r="A7" s="179"/>
      <c r="B7" s="179" t="s">
        <v>536</v>
      </c>
      <c r="C7" s="112" t="s">
        <v>537</v>
      </c>
      <c r="D7" s="179" t="s">
        <v>538</v>
      </c>
      <c r="E7" s="708"/>
      <c r="F7" s="708"/>
      <c r="G7" s="179" t="s">
        <v>539</v>
      </c>
    </row>
    <row r="8" spans="1:7">
      <c r="A8" s="179"/>
      <c r="B8" s="179" t="s">
        <v>540</v>
      </c>
      <c r="C8" s="112" t="s">
        <v>541</v>
      </c>
      <c r="D8" s="179" t="s">
        <v>542</v>
      </c>
      <c r="E8" s="708"/>
      <c r="F8" s="708"/>
      <c r="G8" s="708"/>
    </row>
    <row r="9" spans="1:7">
      <c r="A9" s="179"/>
      <c r="B9" s="179"/>
      <c r="C9" s="112" t="s">
        <v>543</v>
      </c>
      <c r="D9" s="179" t="s">
        <v>544</v>
      </c>
      <c r="E9" s="708"/>
      <c r="F9" s="708"/>
      <c r="G9" s="708"/>
    </row>
    <row r="10" spans="1:7">
      <c r="A10" s="179"/>
      <c r="B10" s="179"/>
      <c r="C10" s="179" t="s">
        <v>545</v>
      </c>
      <c r="D10" s="179" t="s">
        <v>546</v>
      </c>
      <c r="E10" s="708"/>
      <c r="F10" s="708"/>
      <c r="G10" s="708"/>
    </row>
    <row r="11" spans="1:7">
      <c r="A11" s="708"/>
      <c r="B11" s="708"/>
      <c r="C11" s="179" t="s">
        <v>547</v>
      </c>
      <c r="D11" s="708"/>
      <c r="E11" s="708"/>
      <c r="F11" s="708"/>
      <c r="G11" s="708"/>
    </row>
    <row r="12" spans="1:7">
      <c r="A12" s="708"/>
      <c r="B12" s="708"/>
      <c r="C12" s="179" t="s">
        <v>548</v>
      </c>
      <c r="D12" s="708"/>
      <c r="E12" s="708"/>
      <c r="F12" s="708"/>
      <c r="G12" s="708"/>
    </row>
    <row r="13" spans="1:7">
      <c r="A13" s="708"/>
      <c r="B13" s="708"/>
      <c r="C13" s="179" t="s">
        <v>326</v>
      </c>
      <c r="D13" s="708"/>
      <c r="E13" s="708"/>
      <c r="F13" s="708"/>
      <c r="G13" s="70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0"/>
  <sheetViews>
    <sheetView topLeftCell="A58" zoomScale="200" zoomScaleNormal="200" zoomScalePageLayoutView="200" workbookViewId="0">
      <selection activeCell="C11" sqref="C11"/>
    </sheetView>
  </sheetViews>
  <sheetFormatPr baseColWidth="10" defaultColWidth="8.83203125" defaultRowHeight="15"/>
  <cols>
    <col min="1" max="1" width="39.5" style="75" customWidth="1"/>
    <col min="2" max="2" width="19" style="78" customWidth="1"/>
    <col min="3" max="4" width="17.1640625" style="75" customWidth="1"/>
    <col min="5" max="16384" width="8.83203125" style="75"/>
  </cols>
  <sheetData>
    <row r="1" spans="1:4" ht="18">
      <c r="A1" s="792" t="s">
        <v>0</v>
      </c>
      <c r="B1" s="792"/>
      <c r="C1" s="793"/>
      <c r="D1" s="793"/>
    </row>
    <row r="2" spans="1:4" ht="18">
      <c r="A2" s="792" t="s">
        <v>549</v>
      </c>
      <c r="B2" s="792"/>
      <c r="C2" s="793"/>
      <c r="D2" s="793"/>
    </row>
    <row r="3" spans="1:4">
      <c r="A3" s="794"/>
      <c r="B3" s="794"/>
      <c r="C3" s="793"/>
      <c r="D3" s="793"/>
    </row>
    <row r="5" spans="1:4">
      <c r="A5" s="76"/>
      <c r="B5" s="77"/>
      <c r="C5" s="807"/>
      <c r="D5" s="808"/>
    </row>
    <row r="6" spans="1:4">
      <c r="A6" s="76"/>
      <c r="B6" s="361" t="s">
        <v>550</v>
      </c>
      <c r="C6" s="709" t="s">
        <v>551</v>
      </c>
      <c r="D6" s="709" t="s">
        <v>552</v>
      </c>
    </row>
    <row r="7" spans="1:4">
      <c r="A7" s="1" t="s">
        <v>9</v>
      </c>
      <c r="B7" s="11"/>
      <c r="C7" s="2"/>
      <c r="D7" s="2"/>
    </row>
    <row r="8" spans="1:4">
      <c r="A8" s="1" t="s">
        <v>10</v>
      </c>
      <c r="B8" s="11"/>
      <c r="C8" s="362"/>
      <c r="D8" s="362"/>
    </row>
    <row r="9" spans="1:4">
      <c r="A9" s="1" t="s">
        <v>11</v>
      </c>
      <c r="B9" s="363" t="e">
        <f>#REF!</f>
        <v>#REF!</v>
      </c>
      <c r="C9" s="363">
        <f>30000</f>
        <v>30000</v>
      </c>
      <c r="D9" s="363">
        <f>0</f>
        <v>0</v>
      </c>
    </row>
    <row r="10" spans="1:4">
      <c r="A10" s="1" t="s">
        <v>553</v>
      </c>
      <c r="B10" s="363" t="e">
        <f>#REF!</f>
        <v>#REF!</v>
      </c>
      <c r="C10" s="363">
        <f>0</f>
        <v>0</v>
      </c>
      <c r="D10" s="363">
        <f>83000</f>
        <v>83000</v>
      </c>
    </row>
    <row r="11" spans="1:4">
      <c r="A11" s="1" t="s">
        <v>15</v>
      </c>
      <c r="B11" s="363" t="e">
        <f>#REF!</f>
        <v>#REF!</v>
      </c>
      <c r="C11" s="363">
        <f>125000</f>
        <v>125000</v>
      </c>
      <c r="D11" s="363">
        <f>73493.41</f>
        <v>73493.41</v>
      </c>
    </row>
    <row r="12" spans="1:4">
      <c r="A12" s="1" t="s">
        <v>16</v>
      </c>
      <c r="B12" s="363" t="e">
        <f>#REF!</f>
        <v>#REF!</v>
      </c>
      <c r="C12" s="363">
        <f>67696</f>
        <v>67696</v>
      </c>
      <c r="D12" s="363">
        <f>58259</f>
        <v>58259</v>
      </c>
    </row>
    <row r="13" spans="1:4">
      <c r="A13" s="1" t="s">
        <v>18</v>
      </c>
      <c r="B13" s="363" t="e">
        <f>#REF!</f>
        <v>#REF!</v>
      </c>
      <c r="C13" s="363">
        <f>69333.57</f>
        <v>69333.570000000007</v>
      </c>
      <c r="D13" s="363">
        <f>84384.61</f>
        <v>84384.61</v>
      </c>
    </row>
    <row r="14" spans="1:4">
      <c r="A14" s="1" t="s">
        <v>19</v>
      </c>
      <c r="B14" s="364" t="e">
        <f>SUM(B9:B13)</f>
        <v>#REF!</v>
      </c>
      <c r="C14" s="364">
        <f>SUM(C9:C13)</f>
        <v>292029.57</v>
      </c>
      <c r="D14" s="364">
        <f>SUM(D9:D13)</f>
        <v>299137.02</v>
      </c>
    </row>
    <row r="15" spans="1:4">
      <c r="A15" s="1"/>
      <c r="B15" s="11"/>
      <c r="C15" s="365"/>
      <c r="D15" s="365"/>
    </row>
    <row r="16" spans="1:4">
      <c r="A16" s="1" t="s">
        <v>20</v>
      </c>
      <c r="B16" s="11"/>
      <c r="C16" s="362"/>
      <c r="D16" s="362"/>
    </row>
    <row r="17" spans="1:4">
      <c r="A17" s="1" t="s">
        <v>21</v>
      </c>
      <c r="B17" s="363" t="e">
        <f>#REF!</f>
        <v>#REF!</v>
      </c>
      <c r="C17" s="363">
        <f>22595.76</f>
        <v>22595.759999999998</v>
      </c>
      <c r="D17" s="363">
        <f>45788.29</f>
        <v>45788.29</v>
      </c>
    </row>
    <row r="18" spans="1:4">
      <c r="A18" s="1" t="s">
        <v>23</v>
      </c>
      <c r="B18" s="363" t="e">
        <f>#REF!</f>
        <v>#REF!</v>
      </c>
      <c r="C18" s="363">
        <f>35150</f>
        <v>35150</v>
      </c>
      <c r="D18" s="363">
        <f>39500</f>
        <v>39500</v>
      </c>
    </row>
    <row r="19" spans="1:4">
      <c r="A19" s="1" t="s">
        <v>25</v>
      </c>
      <c r="B19" s="363" t="e">
        <f>#REF!</f>
        <v>#REF!</v>
      </c>
      <c r="C19" s="363">
        <f>677.6</f>
        <v>677.6</v>
      </c>
      <c r="D19" s="363">
        <f>2044.07</f>
        <v>2044.07</v>
      </c>
    </row>
    <row r="20" spans="1:4">
      <c r="A20" s="1" t="s">
        <v>26</v>
      </c>
      <c r="B20" s="364" t="e">
        <f>SUM(B17:B19)</f>
        <v>#REF!</v>
      </c>
      <c r="C20" s="364">
        <f>SUM(C17:C19)</f>
        <v>58423.359999999993</v>
      </c>
      <c r="D20" s="364">
        <f>SUM(D17:D19)</f>
        <v>87332.360000000015</v>
      </c>
    </row>
    <row r="21" spans="1:4">
      <c r="A21" s="1"/>
      <c r="B21" s="11"/>
      <c r="C21" s="365"/>
      <c r="D21" s="365"/>
    </row>
    <row r="22" spans="1:4">
      <c r="A22" s="1" t="s">
        <v>27</v>
      </c>
      <c r="B22" s="363"/>
      <c r="C22" s="363">
        <f>385.54</f>
        <v>385.54</v>
      </c>
      <c r="D22" s="363">
        <f>0</f>
        <v>0</v>
      </c>
    </row>
    <row r="23" spans="1:4">
      <c r="A23" s="1" t="s">
        <v>126</v>
      </c>
      <c r="B23" s="363" t="e">
        <f>#REF!</f>
        <v>#REF!</v>
      </c>
      <c r="C23" s="363">
        <f>4050.45</f>
        <v>4050.45</v>
      </c>
      <c r="D23" s="363">
        <f>0</f>
        <v>0</v>
      </c>
    </row>
    <row r="24" spans="1:4">
      <c r="A24" s="1" t="s">
        <v>29</v>
      </c>
      <c r="B24" s="364" t="e">
        <f>SUM(B22:B23)</f>
        <v>#REF!</v>
      </c>
      <c r="C24" s="364">
        <f>SUM(C22:C23)</f>
        <v>4435.99</v>
      </c>
      <c r="D24" s="364">
        <f>SUM(D22:D23)</f>
        <v>0</v>
      </c>
    </row>
    <row r="25" spans="1:4">
      <c r="A25" s="1"/>
      <c r="B25" s="11"/>
      <c r="C25" s="365"/>
      <c r="D25" s="365"/>
    </row>
    <row r="26" spans="1:4">
      <c r="A26" s="1" t="s">
        <v>30</v>
      </c>
      <c r="B26" s="363"/>
      <c r="C26" s="363"/>
      <c r="D26" s="363"/>
    </row>
    <row r="27" spans="1:4">
      <c r="A27" s="1" t="s">
        <v>31</v>
      </c>
      <c r="B27" s="363" t="e">
        <f>#REF!</f>
        <v>#REF!</v>
      </c>
      <c r="C27" s="363">
        <f>189.6</f>
        <v>189.6</v>
      </c>
      <c r="D27" s="363">
        <f>495.83</f>
        <v>495.83</v>
      </c>
    </row>
    <row r="28" spans="1:4">
      <c r="A28" s="1" t="s">
        <v>129</v>
      </c>
      <c r="B28" s="363" t="e">
        <f>#REF!</f>
        <v>#REF!</v>
      </c>
      <c r="C28" s="363">
        <f>653.22</f>
        <v>653.22</v>
      </c>
      <c r="D28" s="363">
        <f>0</f>
        <v>0</v>
      </c>
    </row>
    <row r="29" spans="1:4">
      <c r="A29" s="1" t="s">
        <v>130</v>
      </c>
      <c r="B29" s="363"/>
      <c r="C29" s="363"/>
      <c r="D29" s="363"/>
    </row>
    <row r="30" spans="1:4">
      <c r="A30" s="1" t="s">
        <v>554</v>
      </c>
      <c r="B30" s="363" t="e">
        <f>#REF!</f>
        <v>#REF!</v>
      </c>
      <c r="C30" s="363">
        <f>15000</f>
        <v>15000</v>
      </c>
      <c r="D30" s="363">
        <v>0</v>
      </c>
    </row>
    <row r="31" spans="1:4">
      <c r="A31" s="1" t="s">
        <v>555</v>
      </c>
      <c r="B31" s="363" t="e">
        <f>#REF!</f>
        <v>#REF!</v>
      </c>
      <c r="C31" s="363">
        <f>129982.14</f>
        <v>129982.14</v>
      </c>
      <c r="D31" s="363">
        <f>102999.31+35661.99</f>
        <v>138661.29999999999</v>
      </c>
    </row>
    <row r="32" spans="1:4">
      <c r="A32" s="1" t="s">
        <v>556</v>
      </c>
      <c r="B32" s="363" t="e">
        <f>#REF!</f>
        <v>#REF!</v>
      </c>
      <c r="C32" s="363">
        <v>0</v>
      </c>
      <c r="D32" s="363">
        <v>0</v>
      </c>
    </row>
    <row r="33" spans="1:4">
      <c r="A33" s="1" t="s">
        <v>557</v>
      </c>
      <c r="B33" s="364" t="e">
        <f>SUM(B30:B32)</f>
        <v>#REF!</v>
      </c>
      <c r="C33" s="364">
        <f>SUM(C30:C32)</f>
        <v>144982.14000000001</v>
      </c>
      <c r="D33" s="364">
        <f>SUM(D30:D32)</f>
        <v>138661.29999999999</v>
      </c>
    </row>
    <row r="34" spans="1:4">
      <c r="A34" s="1" t="s">
        <v>39</v>
      </c>
      <c r="B34" s="363" t="e">
        <f>#REF!</f>
        <v>#REF!</v>
      </c>
      <c r="C34" s="363">
        <f>87318.01</f>
        <v>87318.01</v>
      </c>
      <c r="D34" s="363">
        <f>4620.24</f>
        <v>4620.24</v>
      </c>
    </row>
    <row r="35" spans="1:4">
      <c r="A35" s="1" t="s">
        <v>41</v>
      </c>
      <c r="B35" s="363" t="e">
        <f>#REF!</f>
        <v>#REF!</v>
      </c>
      <c r="C35" s="363">
        <f>4065.89</f>
        <v>4065.89</v>
      </c>
      <c r="D35" s="363">
        <f>0</f>
        <v>0</v>
      </c>
    </row>
    <row r="36" spans="1:4">
      <c r="A36" s="1" t="s">
        <v>42</v>
      </c>
      <c r="B36" s="364" t="e">
        <f>SUM(B27:B28)+B33+SUM(B34:B35)</f>
        <v>#REF!</v>
      </c>
      <c r="C36" s="364">
        <f>(((((C26)+(C27))+(C28))+(C33))+(C34))+(C35)</f>
        <v>237208.86000000004</v>
      </c>
      <c r="D36" s="364">
        <f>(((((D26)+(D27))+(D28))+(D33))+(D34))+(D35)</f>
        <v>143777.36999999997</v>
      </c>
    </row>
    <row r="37" spans="1:4">
      <c r="A37" s="1"/>
      <c r="B37" s="365"/>
      <c r="C37" s="365"/>
      <c r="D37" s="365"/>
    </row>
    <row r="38" spans="1:4">
      <c r="A38" s="1" t="s">
        <v>43</v>
      </c>
      <c r="B38" s="363" t="e">
        <f>#REF!</f>
        <v>#REF!</v>
      </c>
      <c r="C38" s="363">
        <f>-2650</f>
        <v>-2650</v>
      </c>
      <c r="D38" s="363">
        <f>0</f>
        <v>0</v>
      </c>
    </row>
    <row r="39" spans="1:4">
      <c r="A39" s="1" t="s">
        <v>143</v>
      </c>
      <c r="B39" s="363" t="e">
        <f>#REF!</f>
        <v>#REF!</v>
      </c>
      <c r="C39" s="363">
        <f>830.66</f>
        <v>830.66</v>
      </c>
      <c r="D39" s="363">
        <f>0</f>
        <v>0</v>
      </c>
    </row>
    <row r="40" spans="1:4">
      <c r="A40" s="1"/>
      <c r="B40" s="363"/>
      <c r="C40" s="363"/>
      <c r="D40" s="363"/>
    </row>
    <row r="41" spans="1:4">
      <c r="A41" s="1" t="s">
        <v>45</v>
      </c>
      <c r="B41" s="364" t="e">
        <f>#REF!</f>
        <v>#REF!</v>
      </c>
      <c r="C41" s="364">
        <f>(((((C14)+(C20))+(C24))+(C36))+(C38))+(C39)</f>
        <v>590278.44000000006</v>
      </c>
      <c r="D41" s="364">
        <f>(((((D14)+(D20))+(D24))+(D36))+(D38))+(D39)</f>
        <v>530246.75</v>
      </c>
    </row>
    <row r="42" spans="1:4">
      <c r="A42" s="1"/>
      <c r="B42" s="11"/>
      <c r="C42" s="365"/>
      <c r="D42" s="365"/>
    </row>
    <row r="43" spans="1:4">
      <c r="A43" s="1" t="s">
        <v>46</v>
      </c>
      <c r="B43" s="11"/>
      <c r="C43" s="2"/>
      <c r="D43" s="2"/>
    </row>
    <row r="44" spans="1:4">
      <c r="A44" s="1" t="s">
        <v>47</v>
      </c>
      <c r="B44" s="363"/>
      <c r="C44" s="363">
        <f>266.55</f>
        <v>266.55</v>
      </c>
      <c r="D44" s="363">
        <f>446.25</f>
        <v>446.25</v>
      </c>
    </row>
    <row r="45" spans="1:4">
      <c r="A45" s="1" t="s">
        <v>48</v>
      </c>
      <c r="B45" s="363" t="e">
        <f>#REF!</f>
        <v>#REF!</v>
      </c>
      <c r="C45" s="363">
        <f>1953.75</f>
        <v>1953.75</v>
      </c>
      <c r="D45" s="363">
        <f>1503.78</f>
        <v>1503.78</v>
      </c>
    </row>
    <row r="46" spans="1:4">
      <c r="A46" s="1" t="s">
        <v>558</v>
      </c>
      <c r="B46" s="363" t="e">
        <f>#REF!</f>
        <v>#REF!</v>
      </c>
      <c r="C46" s="363">
        <f>12363.06</f>
        <v>12363.06</v>
      </c>
      <c r="D46" s="363">
        <f>11767.01</f>
        <v>11767.01</v>
      </c>
    </row>
    <row r="47" spans="1:4">
      <c r="A47" s="1" t="s">
        <v>146</v>
      </c>
      <c r="B47" s="363" t="e">
        <f>#REF!</f>
        <v>#REF!</v>
      </c>
      <c r="C47" s="363">
        <f>20294.25</f>
        <v>20294.25</v>
      </c>
      <c r="D47" s="363">
        <f>3018.75</f>
        <v>3018.75</v>
      </c>
    </row>
    <row r="48" spans="1:4">
      <c r="A48" s="1" t="s">
        <v>147</v>
      </c>
      <c r="B48" s="363" t="e">
        <f>#REF!</f>
        <v>#REF!</v>
      </c>
      <c r="C48" s="363">
        <f>2311.41</f>
        <v>2311.41</v>
      </c>
      <c r="D48" s="363">
        <f>3841.99+322.83</f>
        <v>4164.82</v>
      </c>
    </row>
    <row r="49" spans="1:4">
      <c r="A49" s="1" t="s">
        <v>148</v>
      </c>
      <c r="B49" s="363" t="e">
        <f>#REF!</f>
        <v>#REF!</v>
      </c>
      <c r="C49" s="363">
        <f>3007.51</f>
        <v>3007.51</v>
      </c>
      <c r="D49" s="363">
        <f>3006</f>
        <v>3006</v>
      </c>
    </row>
    <row r="50" spans="1:4">
      <c r="A50" s="1" t="s">
        <v>433</v>
      </c>
      <c r="B50" s="363" t="e">
        <f>#REF!</f>
        <v>#REF!</v>
      </c>
      <c r="C50" s="363">
        <f>13497.93</f>
        <v>13497.93</v>
      </c>
      <c r="D50" s="363">
        <f>11929.72</f>
        <v>11929.72</v>
      </c>
    </row>
    <row r="51" spans="1:4">
      <c r="A51" s="1" t="s">
        <v>434</v>
      </c>
      <c r="B51" s="363" t="e">
        <f>#REF!</f>
        <v>#REF!</v>
      </c>
      <c r="C51" s="363">
        <f>5393.72</f>
        <v>5393.72</v>
      </c>
      <c r="D51" s="363">
        <f>7000.48</f>
        <v>7000.48</v>
      </c>
    </row>
    <row r="52" spans="1:4">
      <c r="A52" s="1" t="s">
        <v>151</v>
      </c>
      <c r="B52" s="363" t="e">
        <f>#REF!</f>
        <v>#REF!</v>
      </c>
      <c r="C52" s="363">
        <f>2606.58</f>
        <v>2606.58</v>
      </c>
      <c r="D52" s="363">
        <f>3837.68</f>
        <v>3837.68</v>
      </c>
    </row>
    <row r="53" spans="1:4">
      <c r="A53" s="1" t="s">
        <v>559</v>
      </c>
      <c r="B53" s="363"/>
      <c r="C53" s="363">
        <f>0</f>
        <v>0</v>
      </c>
      <c r="D53" s="363">
        <f>8000</f>
        <v>8000</v>
      </c>
    </row>
    <row r="54" spans="1:4">
      <c r="A54" s="1" t="s">
        <v>58</v>
      </c>
      <c r="B54" s="364" t="e">
        <f>SUM(B44:B53)</f>
        <v>#REF!</v>
      </c>
      <c r="C54" s="364">
        <f>SUM(C44:C53)</f>
        <v>61694.760000000009</v>
      </c>
      <c r="D54" s="364">
        <f>SUM(D44:D53)</f>
        <v>54674.49</v>
      </c>
    </row>
    <row r="55" spans="1:4">
      <c r="A55" s="1"/>
      <c r="B55" s="365"/>
      <c r="C55" s="365"/>
      <c r="D55" s="365"/>
    </row>
    <row r="56" spans="1:4">
      <c r="A56" s="1" t="s">
        <v>560</v>
      </c>
      <c r="B56" s="11"/>
      <c r="C56" s="362"/>
      <c r="D56" s="362"/>
    </row>
    <row r="57" spans="1:4">
      <c r="A57" s="1" t="s">
        <v>441</v>
      </c>
      <c r="B57" s="363" t="e">
        <f>#REF!</f>
        <v>#REF!</v>
      </c>
      <c r="C57" s="363">
        <f>11444.59</f>
        <v>11444.59</v>
      </c>
      <c r="D57" s="363">
        <f>28702.53</f>
        <v>28702.53</v>
      </c>
    </row>
    <row r="58" spans="1:4">
      <c r="A58" s="1" t="s">
        <v>443</v>
      </c>
      <c r="B58" s="363" t="e">
        <f>#REF!</f>
        <v>#REF!</v>
      </c>
      <c r="C58" s="363">
        <f>32844.09</f>
        <v>32844.089999999997</v>
      </c>
      <c r="D58" s="363">
        <f>18499.19</f>
        <v>18499.189999999999</v>
      </c>
    </row>
    <row r="59" spans="1:4">
      <c r="A59" s="1" t="s">
        <v>561</v>
      </c>
      <c r="B59" s="363" t="e">
        <f>#REF!</f>
        <v>#REF!</v>
      </c>
      <c r="C59" s="363">
        <f>10580.7</f>
        <v>10580.7</v>
      </c>
      <c r="D59" s="363">
        <f>3207.14+736.85+214.49</f>
        <v>4158.4799999999996</v>
      </c>
    </row>
    <row r="60" spans="1:4">
      <c r="A60" s="1" t="s">
        <v>63</v>
      </c>
      <c r="B60" s="363" t="e">
        <f>#REF!</f>
        <v>#REF!</v>
      </c>
      <c r="C60" s="363">
        <f>570.84</f>
        <v>570.84</v>
      </c>
      <c r="D60" s="363">
        <f>0</f>
        <v>0</v>
      </c>
    </row>
    <row r="61" spans="1:4">
      <c r="A61" s="1" t="s">
        <v>562</v>
      </c>
      <c r="B61" s="364" t="e">
        <f>SUM(B57:B60)</f>
        <v>#REF!</v>
      </c>
      <c r="C61" s="364">
        <f>SUM(C57:C60)</f>
        <v>55440.219999999987</v>
      </c>
      <c r="D61" s="364">
        <f>SUM(D57:D60)</f>
        <v>51360.2</v>
      </c>
    </row>
    <row r="62" spans="1:4">
      <c r="A62" s="1"/>
      <c r="B62" s="11"/>
      <c r="C62" s="365"/>
      <c r="D62" s="365"/>
    </row>
    <row r="63" spans="1:4">
      <c r="A63" s="1" t="s">
        <v>563</v>
      </c>
      <c r="B63" s="11"/>
      <c r="C63" s="362"/>
      <c r="D63" s="362"/>
    </row>
    <row r="64" spans="1:4">
      <c r="A64" s="1" t="s">
        <v>67</v>
      </c>
      <c r="B64" s="363" t="e">
        <f>#REF!</f>
        <v>#REF!</v>
      </c>
      <c r="C64" s="363">
        <f>7189.74</f>
        <v>7189.74</v>
      </c>
      <c r="D64" s="363">
        <f>6897.01</f>
        <v>6897.01</v>
      </c>
    </row>
    <row r="65" spans="1:4">
      <c r="A65" s="1" t="s">
        <v>68</v>
      </c>
      <c r="B65" s="363" t="e">
        <f>#REF!</f>
        <v>#REF!</v>
      </c>
      <c r="C65" s="363">
        <f>4466.93</f>
        <v>4466.93</v>
      </c>
      <c r="D65" s="363">
        <f>2346.41</f>
        <v>2346.41</v>
      </c>
    </row>
    <row r="66" spans="1:4">
      <c r="A66" s="1" t="s">
        <v>69</v>
      </c>
      <c r="B66" s="363" t="e">
        <f>#REF!</f>
        <v>#REF!</v>
      </c>
      <c r="C66" s="363">
        <f>19950</f>
        <v>19950</v>
      </c>
      <c r="D66" s="363">
        <f>29505.16</f>
        <v>29505.16</v>
      </c>
    </row>
    <row r="67" spans="1:4">
      <c r="A67" s="1" t="s">
        <v>70</v>
      </c>
      <c r="B67" s="363" t="e">
        <f>#REF!</f>
        <v>#REF!</v>
      </c>
      <c r="C67" s="363">
        <f>13263.58</f>
        <v>13263.58</v>
      </c>
      <c r="D67" s="363">
        <f>17792.4</f>
        <v>17792.400000000001</v>
      </c>
    </row>
    <row r="68" spans="1:4">
      <c r="A68" s="1" t="s">
        <v>71</v>
      </c>
      <c r="B68" s="363" t="e">
        <f>#REF!</f>
        <v>#REF!</v>
      </c>
      <c r="C68" s="363">
        <f>18048.89</f>
        <v>18048.89</v>
      </c>
      <c r="D68" s="363">
        <f>8501.73</f>
        <v>8501.73</v>
      </c>
    </row>
    <row r="69" spans="1:4">
      <c r="A69" s="1" t="s">
        <v>72</v>
      </c>
      <c r="B69" s="363" t="e">
        <f>#REF!</f>
        <v>#REF!</v>
      </c>
      <c r="C69" s="363">
        <f>5897.39</f>
        <v>5897.39</v>
      </c>
      <c r="D69" s="363">
        <f>12519.02</f>
        <v>12519.02</v>
      </c>
    </row>
    <row r="70" spans="1:4">
      <c r="A70" s="1" t="s">
        <v>73</v>
      </c>
      <c r="B70" s="363" t="e">
        <f>#REF!</f>
        <v>#REF!</v>
      </c>
      <c r="C70" s="363">
        <f>12435.91</f>
        <v>12435.91</v>
      </c>
      <c r="D70" s="363">
        <f>9741.18</f>
        <v>9741.18</v>
      </c>
    </row>
    <row r="71" spans="1:4">
      <c r="A71" s="1" t="s">
        <v>564</v>
      </c>
      <c r="B71" s="364" t="e">
        <f>SUM(B64:B70)</f>
        <v>#REF!</v>
      </c>
      <c r="C71" s="364">
        <f>SUM(C64:C70)</f>
        <v>81252.44</v>
      </c>
      <c r="D71" s="364">
        <f>SUM(D64:D70)</f>
        <v>87302.91</v>
      </c>
    </row>
    <row r="72" spans="1:4">
      <c r="A72" s="1"/>
      <c r="B72" s="11"/>
      <c r="C72" s="365"/>
      <c r="D72" s="365"/>
    </row>
    <row r="73" spans="1:4">
      <c r="A73" s="1" t="s">
        <v>565</v>
      </c>
      <c r="B73" s="11"/>
      <c r="C73" s="362"/>
      <c r="D73" s="362"/>
    </row>
    <row r="74" spans="1:4">
      <c r="A74" s="1" t="s">
        <v>566</v>
      </c>
      <c r="B74" s="363" t="e">
        <f>#REF!</f>
        <v>#REF!</v>
      </c>
      <c r="C74" s="363">
        <f>0</f>
        <v>0</v>
      </c>
      <c r="D74" s="363">
        <f>503.82</f>
        <v>503.82</v>
      </c>
    </row>
    <row r="75" spans="1:4">
      <c r="A75" s="1" t="s">
        <v>174</v>
      </c>
      <c r="B75" s="363" t="e">
        <f>#REF!</f>
        <v>#REF!</v>
      </c>
      <c r="C75" s="363">
        <f>3374.04</f>
        <v>3374.04</v>
      </c>
      <c r="D75" s="363">
        <f>11509.49</f>
        <v>11509.49</v>
      </c>
    </row>
    <row r="76" spans="1:4">
      <c r="A76" s="1" t="s">
        <v>567</v>
      </c>
      <c r="B76" s="364" t="e">
        <f>SUM(B74:B75)</f>
        <v>#REF!</v>
      </c>
      <c r="C76" s="364">
        <f>SUM(C74:C75)</f>
        <v>3374.04</v>
      </c>
      <c r="D76" s="364">
        <f>SUM(D74:D75)</f>
        <v>12013.31</v>
      </c>
    </row>
    <row r="77" spans="1:4">
      <c r="A77" s="1"/>
      <c r="B77" s="365"/>
      <c r="C77" s="365"/>
      <c r="D77" s="365"/>
    </row>
    <row r="78" spans="1:4">
      <c r="A78" s="1" t="s">
        <v>568</v>
      </c>
      <c r="B78" s="363"/>
      <c r="C78" s="363">
        <f>23444.08</f>
        <v>23444.080000000002</v>
      </c>
      <c r="D78" s="363">
        <f>18546.84</f>
        <v>18546.84</v>
      </c>
    </row>
    <row r="79" spans="1:4">
      <c r="A79" s="1" t="s">
        <v>177</v>
      </c>
      <c r="B79" s="363" t="e">
        <f>#REF!</f>
        <v>#REF!</v>
      </c>
      <c r="C79" s="363">
        <f>15706.5</f>
        <v>15706.5</v>
      </c>
      <c r="D79" s="363">
        <f>0</f>
        <v>0</v>
      </c>
    </row>
    <row r="80" spans="1:4">
      <c r="A80" s="1" t="s">
        <v>453</v>
      </c>
      <c r="B80" s="363" t="e">
        <f>#REF!</f>
        <v>#REF!</v>
      </c>
      <c r="C80" s="363">
        <f>17886</f>
        <v>17886</v>
      </c>
      <c r="D80" s="363">
        <f>8468.67</f>
        <v>8468.67</v>
      </c>
    </row>
    <row r="81" spans="1:4">
      <c r="A81" s="1" t="s">
        <v>454</v>
      </c>
      <c r="B81" s="363" t="e">
        <f>#REF!</f>
        <v>#REF!</v>
      </c>
      <c r="C81" s="363">
        <v>0</v>
      </c>
      <c r="D81" s="363">
        <v>0</v>
      </c>
    </row>
    <row r="82" spans="1:4">
      <c r="A82" s="1" t="s">
        <v>455</v>
      </c>
      <c r="B82" s="363"/>
      <c r="C82" s="363">
        <v>0</v>
      </c>
      <c r="D82" s="363">
        <v>0</v>
      </c>
    </row>
    <row r="83" spans="1:4">
      <c r="A83" s="1" t="s">
        <v>185</v>
      </c>
      <c r="B83" s="363" t="e">
        <f>#REF!</f>
        <v>#REF!</v>
      </c>
      <c r="C83" s="363">
        <v>0</v>
      </c>
      <c r="D83" s="363">
        <v>0</v>
      </c>
    </row>
    <row r="84" spans="1:4">
      <c r="A84" s="1" t="s">
        <v>456</v>
      </c>
      <c r="B84" s="363" t="e">
        <f>#REF!</f>
        <v>#REF!</v>
      </c>
      <c r="C84" s="363">
        <v>0</v>
      </c>
      <c r="D84" s="363">
        <v>0</v>
      </c>
    </row>
    <row r="85" spans="1:4">
      <c r="A85" s="1" t="s">
        <v>187</v>
      </c>
      <c r="B85" s="363" t="e">
        <f>#REF!</f>
        <v>#REF!</v>
      </c>
      <c r="C85" s="363">
        <v>0</v>
      </c>
      <c r="D85" s="363">
        <v>0</v>
      </c>
    </row>
    <row r="86" spans="1:4">
      <c r="A86" s="1" t="s">
        <v>188</v>
      </c>
      <c r="B86" s="363" t="e">
        <f>#REF!</f>
        <v>#REF!</v>
      </c>
      <c r="C86" s="363">
        <v>0</v>
      </c>
      <c r="D86" s="363">
        <v>0</v>
      </c>
    </row>
    <row r="87" spans="1:4">
      <c r="A87" s="1" t="s">
        <v>189</v>
      </c>
      <c r="B87" s="363" t="e">
        <f>#REF!</f>
        <v>#REF!</v>
      </c>
      <c r="C87" s="363">
        <v>0</v>
      </c>
      <c r="D87" s="363">
        <v>0</v>
      </c>
    </row>
    <row r="88" spans="1:4">
      <c r="A88" s="1" t="s">
        <v>569</v>
      </c>
      <c r="B88" s="364" t="e">
        <f>SUM(B79:B87)</f>
        <v>#REF!</v>
      </c>
      <c r="C88" s="364">
        <f>((C78)+(C79))+(C80)</f>
        <v>57036.58</v>
      </c>
      <c r="D88" s="364">
        <f>((D78)+(D79))+(D80)</f>
        <v>27015.510000000002</v>
      </c>
    </row>
    <row r="89" spans="1:4">
      <c r="A89" s="1"/>
      <c r="B89" s="365"/>
      <c r="C89" s="365"/>
      <c r="D89" s="365"/>
    </row>
    <row r="90" spans="1:4">
      <c r="A90" s="1" t="s">
        <v>457</v>
      </c>
      <c r="B90" s="363"/>
      <c r="C90" s="363"/>
      <c r="D90" s="363"/>
    </row>
    <row r="91" spans="1:4">
      <c r="A91" s="4" t="s">
        <v>458</v>
      </c>
      <c r="B91" s="363" t="e">
        <f>#REF!</f>
        <v>#REF!</v>
      </c>
      <c r="C91" s="363">
        <f>281.2</f>
        <v>281.2</v>
      </c>
      <c r="D91" s="363"/>
    </row>
    <row r="92" spans="1:4">
      <c r="A92" s="4" t="s">
        <v>570</v>
      </c>
      <c r="B92" s="363" t="e">
        <f>#REF!</f>
        <v>#REF!</v>
      </c>
      <c r="C92" s="363">
        <f>20072.7</f>
        <v>20072.7</v>
      </c>
      <c r="D92" s="363">
        <f>19177.28+548.14</f>
        <v>19725.419999999998</v>
      </c>
    </row>
    <row r="93" spans="1:4">
      <c r="A93" s="4" t="s">
        <v>571</v>
      </c>
      <c r="B93" s="363" t="e">
        <f>#REF!</f>
        <v>#REF!</v>
      </c>
      <c r="C93" s="363"/>
      <c r="D93" s="363"/>
    </row>
    <row r="94" spans="1:4">
      <c r="A94" s="1" t="s">
        <v>97</v>
      </c>
      <c r="B94" s="364" t="e">
        <f>SUM(B91:B93)</f>
        <v>#REF!</v>
      </c>
      <c r="C94" s="364">
        <f>((C90)+(C91))+(C92)</f>
        <v>20353.900000000001</v>
      </c>
      <c r="D94" s="364">
        <f>((D90)+(D91))+(D92)</f>
        <v>19725.419999999998</v>
      </c>
    </row>
    <row r="95" spans="1:4">
      <c r="A95" s="1"/>
      <c r="B95" s="365"/>
      <c r="C95" s="365"/>
      <c r="D95" s="365"/>
    </row>
    <row r="96" spans="1:4">
      <c r="A96" s="1" t="s">
        <v>98</v>
      </c>
      <c r="B96" s="363"/>
      <c r="C96" s="363">
        <f>179077.96</f>
        <v>179077.96</v>
      </c>
      <c r="D96" s="363">
        <f>169344.81</f>
        <v>169344.81</v>
      </c>
    </row>
    <row r="97" spans="1:4">
      <c r="A97" s="1" t="s">
        <v>572</v>
      </c>
      <c r="B97" s="363" t="e">
        <f>#REF!</f>
        <v>#REF!</v>
      </c>
      <c r="C97" s="363"/>
      <c r="D97" s="363"/>
    </row>
    <row r="98" spans="1:4">
      <c r="A98" s="4" t="s">
        <v>463</v>
      </c>
      <c r="B98" s="363" t="e">
        <f>#REF!</f>
        <v>#REF!</v>
      </c>
      <c r="C98" s="363">
        <f>59144.39</f>
        <v>59144.39</v>
      </c>
      <c r="D98" s="363">
        <f>450</f>
        <v>450</v>
      </c>
    </row>
    <row r="99" spans="1:4">
      <c r="A99" s="4" t="s">
        <v>210</v>
      </c>
      <c r="B99" s="363" t="e">
        <f>#REF!</f>
        <v>#REF!</v>
      </c>
      <c r="C99" s="363">
        <f>9538.97</f>
        <v>9538.9699999999993</v>
      </c>
      <c r="D99" s="363">
        <f>6442.22</f>
        <v>6442.22</v>
      </c>
    </row>
    <row r="100" spans="1:4">
      <c r="A100" s="4" t="s">
        <v>211</v>
      </c>
      <c r="B100" s="363" t="e">
        <f>#REF!</f>
        <v>#REF!</v>
      </c>
      <c r="C100" s="363">
        <f>59898.36</f>
        <v>59898.36</v>
      </c>
      <c r="D100" s="363">
        <f>85646.78</f>
        <v>85646.78</v>
      </c>
    </row>
    <row r="101" spans="1:4">
      <c r="A101" s="4" t="s">
        <v>573</v>
      </c>
      <c r="B101" s="363"/>
      <c r="C101" s="363">
        <f>0</f>
        <v>0</v>
      </c>
      <c r="D101" s="363">
        <f>398</f>
        <v>398</v>
      </c>
    </row>
    <row r="102" spans="1:4">
      <c r="A102" s="1" t="s">
        <v>106</v>
      </c>
      <c r="B102" s="364" t="e">
        <f>SUM(B96:B101)</f>
        <v>#REF!</v>
      </c>
      <c r="C102" s="364">
        <f>SUM(C96:C101)</f>
        <v>307659.68</v>
      </c>
      <c r="D102" s="364">
        <f>SUM(D96:D101)</f>
        <v>262281.81</v>
      </c>
    </row>
    <row r="103" spans="1:4">
      <c r="A103" s="1"/>
      <c r="B103" s="365"/>
      <c r="C103" s="365"/>
      <c r="D103" s="365"/>
    </row>
    <row r="104" spans="1:4">
      <c r="A104" s="1" t="s">
        <v>107</v>
      </c>
      <c r="B104" s="79" t="e">
        <f>B54+B61+B71+B76+B88+B94+B102</f>
        <v>#REF!</v>
      </c>
      <c r="C104" s="79">
        <f>C54+C61+C71+C76+C88+C94+C102</f>
        <v>586811.62</v>
      </c>
      <c r="D104" s="79">
        <f>D54+D61+D71+D76+D88+D94+D102</f>
        <v>514373.65</v>
      </c>
    </row>
    <row r="105" spans="1:4">
      <c r="A105" s="1"/>
      <c r="B105" s="80"/>
      <c r="C105" s="364"/>
      <c r="D105" s="364"/>
    </row>
    <row r="106" spans="1:4">
      <c r="A106" s="1" t="s">
        <v>108</v>
      </c>
      <c r="B106" s="79" t="e">
        <f>B41-B104</f>
        <v>#REF!</v>
      </c>
      <c r="C106" s="79">
        <f>C41-C104</f>
        <v>3466.8200000000652</v>
      </c>
      <c r="D106" s="79">
        <f>D41-D104</f>
        <v>15873.099999999977</v>
      </c>
    </row>
    <row r="107" spans="1:4">
      <c r="A107" s="1"/>
      <c r="B107" s="11"/>
      <c r="C107" s="2"/>
      <c r="D107" s="2"/>
    </row>
    <row r="110" spans="1:4">
      <c r="A110" s="809" t="s">
        <v>574</v>
      </c>
      <c r="B110" s="809"/>
      <c r="C110" s="793"/>
      <c r="D110" s="793"/>
    </row>
  </sheetData>
  <mergeCells count="5">
    <mergeCell ref="C5:D5"/>
    <mergeCell ref="A110:D110"/>
    <mergeCell ref="A1:D1"/>
    <mergeCell ref="A2:D2"/>
    <mergeCell ref="A3:D3"/>
  </mergeCells>
  <pageMargins left="0.7" right="0.7" top="0.75" bottom="0.75" header="0.3" footer="0.3"/>
  <pageSetup orientation="portrait" horizontalDpi="4294967293" verticalDpi="429496729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34"/>
  <sheetViews>
    <sheetView topLeftCell="O1" zoomScale="150" zoomScaleNormal="150" zoomScalePageLayoutView="150" workbookViewId="0">
      <pane xSplit="2" ySplit="1" topLeftCell="Q9" activePane="bottomRight" state="frozen"/>
      <selection pane="topRight" activeCell="Q1" sqref="Q1"/>
      <selection pane="bottomLeft" activeCell="O2" sqref="O2"/>
      <selection pane="bottomRight" activeCell="Q44" sqref="Q44:Q63"/>
    </sheetView>
  </sheetViews>
  <sheetFormatPr baseColWidth="10" defaultColWidth="14.5" defaultRowHeight="15.75" customHeight="1"/>
  <cols>
    <col min="1" max="1" width="26.1640625" style="37" customWidth="1"/>
    <col min="2" max="15" width="11.83203125" style="37" customWidth="1"/>
    <col min="16" max="16" width="19.83203125" style="37" customWidth="1"/>
    <col min="17" max="16384" width="14.5" style="37"/>
  </cols>
  <sheetData>
    <row r="1" spans="1:30" ht="15.75" customHeight="1">
      <c r="A1" s="33"/>
      <c r="B1" s="34" t="s">
        <v>575</v>
      </c>
      <c r="C1" s="34" t="s">
        <v>576</v>
      </c>
      <c r="D1" s="34" t="s">
        <v>577</v>
      </c>
      <c r="E1" s="34" t="s">
        <v>578</v>
      </c>
      <c r="F1" s="34" t="s">
        <v>579</v>
      </c>
      <c r="G1" s="34" t="s">
        <v>580</v>
      </c>
      <c r="H1" s="34" t="s">
        <v>581</v>
      </c>
      <c r="I1" s="34" t="s">
        <v>582</v>
      </c>
      <c r="J1" s="34" t="s">
        <v>583</v>
      </c>
      <c r="K1" s="34" t="s">
        <v>584</v>
      </c>
      <c r="L1" s="34" t="s">
        <v>585</v>
      </c>
      <c r="M1" s="34" t="s">
        <v>586</v>
      </c>
      <c r="N1" s="35" t="s">
        <v>587</v>
      </c>
      <c r="O1" s="36"/>
      <c r="P1" s="33"/>
      <c r="Q1" s="34" t="s">
        <v>575</v>
      </c>
      <c r="R1" s="34" t="s">
        <v>576</v>
      </c>
      <c r="S1" s="34" t="s">
        <v>577</v>
      </c>
      <c r="T1" s="34" t="s">
        <v>578</v>
      </c>
      <c r="U1" s="34" t="s">
        <v>579</v>
      </c>
      <c r="V1" s="34" t="s">
        <v>580</v>
      </c>
      <c r="W1" s="34" t="s">
        <v>581</v>
      </c>
      <c r="X1" s="34" t="s">
        <v>582</v>
      </c>
      <c r="Y1" s="34" t="s">
        <v>583</v>
      </c>
      <c r="Z1" s="34" t="s">
        <v>584</v>
      </c>
      <c r="AA1" s="34" t="s">
        <v>585</v>
      </c>
      <c r="AB1" s="34" t="s">
        <v>586</v>
      </c>
      <c r="AC1" s="35" t="s">
        <v>587</v>
      </c>
      <c r="AD1" s="36"/>
    </row>
    <row r="2" spans="1:30" ht="15.75" customHeight="1">
      <c r="A2" s="38" t="s">
        <v>218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2"/>
      <c r="P2" s="38" t="s">
        <v>218</v>
      </c>
      <c r="Q2" s="39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  <c r="AD2" s="42"/>
    </row>
    <row r="3" spans="1:30" ht="15.75" customHeight="1">
      <c r="A3" s="43" t="s">
        <v>588</v>
      </c>
      <c r="B3" s="44">
        <f t="shared" ref="B3:M3" si="0">B32*$B35</f>
        <v>6000</v>
      </c>
      <c r="C3" s="44">
        <f t="shared" si="0"/>
        <v>0</v>
      </c>
      <c r="D3" s="44">
        <f t="shared" si="0"/>
        <v>3000</v>
      </c>
      <c r="E3" s="44">
        <f t="shared" si="0"/>
        <v>0</v>
      </c>
      <c r="F3" s="44">
        <f t="shared" si="0"/>
        <v>0</v>
      </c>
      <c r="G3" s="44">
        <f t="shared" si="0"/>
        <v>0</v>
      </c>
      <c r="H3" s="44">
        <f t="shared" si="0"/>
        <v>3000</v>
      </c>
      <c r="I3" s="44">
        <f t="shared" si="0"/>
        <v>0</v>
      </c>
      <c r="J3" s="44">
        <f t="shared" si="0"/>
        <v>0</v>
      </c>
      <c r="K3" s="44">
        <f t="shared" si="0"/>
        <v>7500</v>
      </c>
      <c r="L3" s="44">
        <f t="shared" si="0"/>
        <v>0</v>
      </c>
      <c r="M3" s="44">
        <f t="shared" si="0"/>
        <v>0</v>
      </c>
      <c r="N3" s="45">
        <f>SUM(B3:M3)</f>
        <v>19500</v>
      </c>
      <c r="O3" s="46"/>
      <c r="P3" s="158" t="s">
        <v>588</v>
      </c>
      <c r="Q3" s="44">
        <f>Q32*$Q33+Q34*$Q35</f>
        <v>3192</v>
      </c>
      <c r="R3" s="44">
        <f>R32*$Q33+R34*$Q35</f>
        <v>0</v>
      </c>
      <c r="S3" s="44">
        <f>S32*$Q33+S34*$Q35</f>
        <v>997.5</v>
      </c>
      <c r="T3" s="44">
        <f>T32*$Q33+T34*$Q35</f>
        <v>1995</v>
      </c>
      <c r="U3" s="44">
        <f>U32*$Q33+U34*$Q35</f>
        <v>1995</v>
      </c>
      <c r="V3" s="44">
        <f t="shared" ref="V3:AB3" si="1">V32*$Q33+V34*$Q35</f>
        <v>0</v>
      </c>
      <c r="W3" s="44">
        <f>W32*$Q33+W34*$Q35-12*200</f>
        <v>5580</v>
      </c>
      <c r="X3" s="44">
        <f t="shared" si="1"/>
        <v>0</v>
      </c>
      <c r="Y3" s="44">
        <f t="shared" si="1"/>
        <v>4788</v>
      </c>
      <c r="Z3" s="44">
        <f t="shared" si="1"/>
        <v>4788</v>
      </c>
      <c r="AA3" s="44">
        <f t="shared" si="1"/>
        <v>0</v>
      </c>
      <c r="AB3" s="44">
        <f t="shared" si="1"/>
        <v>0</v>
      </c>
      <c r="AC3" s="45">
        <f>SUM(Q3:AB3)</f>
        <v>23335.5</v>
      </c>
      <c r="AD3" s="46"/>
    </row>
    <row r="4" spans="1:30" ht="15.75" customHeight="1">
      <c r="A4" s="43" t="s">
        <v>589</v>
      </c>
      <c r="B4" s="44" t="e">
        <f>(B38*$B$42)+(#REF!*#REF!)</f>
        <v>#REF!</v>
      </c>
      <c r="C4" s="44" t="e">
        <f>(C38*$B$42)+(#REF!*#REF!)</f>
        <v>#REF!</v>
      </c>
      <c r="D4" s="44" t="e">
        <f>(D38*$B$42)+(#REF!*#REF!)</f>
        <v>#REF!</v>
      </c>
      <c r="E4" s="44" t="e">
        <f>(E38*$B$42)+(#REF!*#REF!)</f>
        <v>#REF!</v>
      </c>
      <c r="F4" s="44" t="e">
        <f>(F38*$B$42)+(#REF!*#REF!)</f>
        <v>#REF!</v>
      </c>
      <c r="G4" s="44" t="e">
        <f>(G38*$B$42)+(#REF!*#REF!)</f>
        <v>#REF!</v>
      </c>
      <c r="H4" s="44" t="e">
        <f>(H38*$B$42)+(#REF!*#REF!)</f>
        <v>#REF!</v>
      </c>
      <c r="I4" s="44" t="e">
        <f>(I38*$B$42)+(#REF!*#REF!)</f>
        <v>#REF!</v>
      </c>
      <c r="J4" s="44" t="e">
        <f>(J38*$B$42)+(#REF!*#REF!)</f>
        <v>#REF!</v>
      </c>
      <c r="K4" s="44" t="e">
        <f>(K38*$B$42)+(#REF!*#REF!)</f>
        <v>#REF!</v>
      </c>
      <c r="L4" s="44" t="e">
        <f>(L38*$B$42)+(#REF!*#REF!)</f>
        <v>#REF!</v>
      </c>
      <c r="M4" s="44" t="e">
        <f>(M38*$B$42)+(#REF!*#REF!)</f>
        <v>#REF!</v>
      </c>
      <c r="N4" s="45" t="e">
        <f>SUM(B4:M4)</f>
        <v>#REF!</v>
      </c>
      <c r="O4" s="46"/>
      <c r="P4" s="158" t="s">
        <v>589</v>
      </c>
      <c r="Q4" s="44">
        <f>(Q37*352)+(Q38*499)+(Q36*249.5)</f>
        <v>7102</v>
      </c>
      <c r="R4" s="44">
        <f t="shared" ref="R4:AB4" si="2">(R37*352)+(R38*499)+(R36*249.5)</f>
        <v>7044</v>
      </c>
      <c r="S4" s="44">
        <f t="shared" si="2"/>
        <v>6545</v>
      </c>
      <c r="T4" s="44">
        <f>(T37*352)+(T38*499)+(T36*249.5)</f>
        <v>6046</v>
      </c>
      <c r="U4" s="44">
        <f t="shared" si="2"/>
        <v>6046</v>
      </c>
      <c r="V4" s="44">
        <f>(V37*352)+(V38*499)+(V36*249.5)</f>
        <v>6046</v>
      </c>
      <c r="W4" s="44">
        <f t="shared" si="2"/>
        <v>6046</v>
      </c>
      <c r="X4" s="44">
        <f>(X37*352)+(X38*499)+(X36*249.5)</f>
        <v>7088.5</v>
      </c>
      <c r="Y4" s="44">
        <f t="shared" si="2"/>
        <v>7088.5</v>
      </c>
      <c r="Z4" s="44">
        <f t="shared" si="2"/>
        <v>8585.5</v>
      </c>
      <c r="AA4" s="44">
        <f>(AA37*352)+(AA38*499)+(AA36*249.5)</f>
        <v>10082.5</v>
      </c>
      <c r="AB4" s="44">
        <f t="shared" si="2"/>
        <v>8585.5</v>
      </c>
      <c r="AC4" s="45">
        <f>SUM(Q4:AB4)</f>
        <v>86305.5</v>
      </c>
      <c r="AD4" s="46"/>
    </row>
    <row r="5" spans="1:30" ht="15.75" customHeight="1">
      <c r="A5" s="47" t="s">
        <v>590</v>
      </c>
      <c r="B5" s="48" t="e">
        <f t="shared" ref="B5:M5" si="3">SUM(B3:B4)</f>
        <v>#REF!</v>
      </c>
      <c r="C5" s="48" t="e">
        <f t="shared" si="3"/>
        <v>#REF!</v>
      </c>
      <c r="D5" s="48" t="e">
        <f t="shared" si="3"/>
        <v>#REF!</v>
      </c>
      <c r="E5" s="48" t="e">
        <f t="shared" si="3"/>
        <v>#REF!</v>
      </c>
      <c r="F5" s="48" t="e">
        <f t="shared" si="3"/>
        <v>#REF!</v>
      </c>
      <c r="G5" s="48" t="e">
        <f t="shared" si="3"/>
        <v>#REF!</v>
      </c>
      <c r="H5" s="48" t="e">
        <f t="shared" si="3"/>
        <v>#REF!</v>
      </c>
      <c r="I5" s="48" t="e">
        <f t="shared" si="3"/>
        <v>#REF!</v>
      </c>
      <c r="J5" s="48" t="e">
        <f t="shared" si="3"/>
        <v>#REF!</v>
      </c>
      <c r="K5" s="48" t="e">
        <f t="shared" si="3"/>
        <v>#REF!</v>
      </c>
      <c r="L5" s="48" t="e">
        <f t="shared" si="3"/>
        <v>#REF!</v>
      </c>
      <c r="M5" s="48" t="e">
        <f t="shared" si="3"/>
        <v>#REF!</v>
      </c>
      <c r="N5" s="45" t="e">
        <f>SUM(B5:M5)</f>
        <v>#REF!</v>
      </c>
      <c r="O5" s="46"/>
      <c r="P5" s="47" t="s">
        <v>590</v>
      </c>
      <c r="Q5" s="48">
        <f t="shared" ref="Q5:AB5" si="4">SUM(Q3:Q4)</f>
        <v>10294</v>
      </c>
      <c r="R5" s="48">
        <f t="shared" si="4"/>
        <v>7044</v>
      </c>
      <c r="S5" s="48">
        <f t="shared" si="4"/>
        <v>7542.5</v>
      </c>
      <c r="T5" s="48">
        <f t="shared" si="4"/>
        <v>8041</v>
      </c>
      <c r="U5" s="48">
        <f t="shared" si="4"/>
        <v>8041</v>
      </c>
      <c r="V5" s="48">
        <f t="shared" si="4"/>
        <v>6046</v>
      </c>
      <c r="W5" s="48">
        <f t="shared" si="4"/>
        <v>11626</v>
      </c>
      <c r="X5" s="48">
        <f t="shared" si="4"/>
        <v>7088.5</v>
      </c>
      <c r="Y5" s="48">
        <f t="shared" si="4"/>
        <v>11876.5</v>
      </c>
      <c r="Z5" s="48">
        <f t="shared" si="4"/>
        <v>13373.5</v>
      </c>
      <c r="AA5" s="48">
        <f t="shared" si="4"/>
        <v>10082.5</v>
      </c>
      <c r="AB5" s="48">
        <f t="shared" si="4"/>
        <v>8585.5</v>
      </c>
      <c r="AC5" s="45">
        <f>SUM(Q5:AB5)</f>
        <v>109641</v>
      </c>
      <c r="AD5" s="46"/>
    </row>
    <row r="6" spans="1:30" ht="15.75" customHeight="1">
      <c r="A6" s="49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45"/>
      <c r="O6" s="46"/>
      <c r="P6" s="49"/>
      <c r="Q6" s="50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45"/>
      <c r="AD6" s="46"/>
    </row>
    <row r="7" spans="1:30" ht="15.75" customHeight="1">
      <c r="A7" s="38" t="s">
        <v>221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5"/>
      <c r="O7" s="46"/>
      <c r="P7" s="38" t="s">
        <v>221</v>
      </c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5"/>
      <c r="AD7" s="46"/>
    </row>
    <row r="8" spans="1:30" ht="15.75" customHeight="1">
      <c r="A8" s="52" t="s">
        <v>588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45"/>
      <c r="O8" s="46"/>
      <c r="P8" s="52" t="s">
        <v>588</v>
      </c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45"/>
      <c r="AD8" s="46"/>
    </row>
    <row r="9" spans="1:30" ht="15.75" customHeight="1">
      <c r="A9" s="49" t="s">
        <v>591</v>
      </c>
      <c r="B9" s="44">
        <f t="shared" ref="B9:M9" si="5">B32*$B44</f>
        <v>1740</v>
      </c>
      <c r="C9" s="44">
        <f t="shared" si="5"/>
        <v>0</v>
      </c>
      <c r="D9" s="44">
        <f t="shared" si="5"/>
        <v>870</v>
      </c>
      <c r="E9" s="44">
        <f t="shared" si="5"/>
        <v>0</v>
      </c>
      <c r="F9" s="44">
        <f t="shared" si="5"/>
        <v>0</v>
      </c>
      <c r="G9" s="44">
        <f t="shared" si="5"/>
        <v>0</v>
      </c>
      <c r="H9" s="44">
        <f t="shared" si="5"/>
        <v>870</v>
      </c>
      <c r="I9" s="44">
        <f t="shared" si="5"/>
        <v>0</v>
      </c>
      <c r="J9" s="44">
        <f t="shared" si="5"/>
        <v>0</v>
      </c>
      <c r="K9" s="44">
        <f t="shared" si="5"/>
        <v>2175</v>
      </c>
      <c r="L9" s="44">
        <f t="shared" si="5"/>
        <v>0</v>
      </c>
      <c r="M9" s="44">
        <f t="shared" si="5"/>
        <v>0</v>
      </c>
      <c r="N9" s="45">
        <f>SUM(B9:M9)</f>
        <v>5655</v>
      </c>
      <c r="O9" s="46"/>
      <c r="P9" s="49" t="s">
        <v>591</v>
      </c>
      <c r="Q9" s="44">
        <f>(Q32+Q34)*$Q44</f>
        <v>800</v>
      </c>
      <c r="R9" s="44">
        <f t="shared" ref="R9:AA9" si="6">(R32+R34)*$Q44</f>
        <v>0</v>
      </c>
      <c r="S9" s="44">
        <f t="shared" si="6"/>
        <v>500</v>
      </c>
      <c r="T9" s="44">
        <v>0</v>
      </c>
      <c r="U9" s="44">
        <f t="shared" si="6"/>
        <v>1000</v>
      </c>
      <c r="V9" s="44">
        <f t="shared" si="6"/>
        <v>0</v>
      </c>
      <c r="W9" s="44">
        <f t="shared" si="6"/>
        <v>2000</v>
      </c>
      <c r="X9" s="44">
        <f t="shared" si="6"/>
        <v>0</v>
      </c>
      <c r="Y9" s="44">
        <f t="shared" si="6"/>
        <v>1200</v>
      </c>
      <c r="Z9" s="44">
        <f t="shared" si="6"/>
        <v>1200</v>
      </c>
      <c r="AA9" s="44">
        <f t="shared" si="6"/>
        <v>0</v>
      </c>
      <c r="AB9" s="44">
        <f>(AB32+AB34)*$Q44</f>
        <v>0</v>
      </c>
      <c r="AC9" s="45">
        <f>SUM(Q9:AB9)</f>
        <v>6700</v>
      </c>
      <c r="AD9" s="46"/>
    </row>
    <row r="10" spans="1:30" ht="15.75" customHeight="1">
      <c r="A10" s="49" t="s">
        <v>592</v>
      </c>
      <c r="B10" s="44">
        <v>800</v>
      </c>
      <c r="C10" s="50"/>
      <c r="D10" s="44">
        <v>800</v>
      </c>
      <c r="E10" s="50"/>
      <c r="F10" s="50"/>
      <c r="G10" s="50"/>
      <c r="H10" s="50"/>
      <c r="I10" s="50"/>
      <c r="J10" s="50"/>
      <c r="K10" s="50"/>
      <c r="L10" s="50"/>
      <c r="M10" s="50"/>
      <c r="N10" s="45">
        <f>SUM(B10:M10)</f>
        <v>1600</v>
      </c>
      <c r="O10" s="46"/>
      <c r="P10" s="49" t="s">
        <v>592</v>
      </c>
      <c r="Q10" s="44"/>
      <c r="R10" s="44">
        <v>250</v>
      </c>
      <c r="S10" s="44">
        <v>250</v>
      </c>
      <c r="T10" s="50"/>
      <c r="U10" s="50"/>
      <c r="V10" s="50"/>
      <c r="W10" s="50"/>
      <c r="X10" s="50"/>
      <c r="Y10" s="50"/>
      <c r="Z10" s="50"/>
      <c r="AA10" s="50"/>
      <c r="AB10" s="50"/>
      <c r="AC10" s="45">
        <f>SUM(Q10:AB10)</f>
        <v>500</v>
      </c>
      <c r="AD10" s="46"/>
    </row>
    <row r="11" spans="1:30" ht="15.75" customHeight="1">
      <c r="A11" s="49" t="s">
        <v>593</v>
      </c>
      <c r="B11" s="44">
        <f t="shared" ref="B11:M11" si="7">B39*$B45*$B46</f>
        <v>400</v>
      </c>
      <c r="C11" s="44">
        <f t="shared" si="7"/>
        <v>0</v>
      </c>
      <c r="D11" s="44">
        <f t="shared" si="7"/>
        <v>200</v>
      </c>
      <c r="E11" s="44">
        <f t="shared" si="7"/>
        <v>0</v>
      </c>
      <c r="F11" s="44">
        <f t="shared" si="7"/>
        <v>0</v>
      </c>
      <c r="G11" s="44">
        <f t="shared" si="7"/>
        <v>0</v>
      </c>
      <c r="H11" s="44">
        <f t="shared" si="7"/>
        <v>200</v>
      </c>
      <c r="I11" s="44">
        <f t="shared" si="7"/>
        <v>0</v>
      </c>
      <c r="J11" s="44">
        <f t="shared" si="7"/>
        <v>0</v>
      </c>
      <c r="K11" s="44">
        <f t="shared" si="7"/>
        <v>300</v>
      </c>
      <c r="L11" s="44">
        <f t="shared" si="7"/>
        <v>0</v>
      </c>
      <c r="M11" s="44">
        <f t="shared" si="7"/>
        <v>0</v>
      </c>
      <c r="N11" s="45">
        <f>SUM(B11:M11)</f>
        <v>1100</v>
      </c>
      <c r="O11" s="46"/>
      <c r="P11" s="49" t="s">
        <v>593</v>
      </c>
      <c r="Q11" s="44">
        <f>(Q39+Q40)*$Q45*$Q46</f>
        <v>200</v>
      </c>
      <c r="R11" s="44">
        <f t="shared" ref="R11:AA11" si="8">(R39+R40)*$Q45*$Q46</f>
        <v>0</v>
      </c>
      <c r="S11" s="44">
        <f t="shared" si="8"/>
        <v>0</v>
      </c>
      <c r="T11" s="44">
        <f t="shared" si="8"/>
        <v>0</v>
      </c>
      <c r="U11" s="44">
        <f>(U39+U40)*$Q45*$Q46</f>
        <v>0</v>
      </c>
      <c r="V11" s="44">
        <f t="shared" si="8"/>
        <v>0</v>
      </c>
      <c r="W11" s="44">
        <f t="shared" si="8"/>
        <v>500</v>
      </c>
      <c r="X11" s="44">
        <f>(X39+X40)*$Q45*$Q46</f>
        <v>0</v>
      </c>
      <c r="Y11" s="44">
        <f t="shared" si="8"/>
        <v>300</v>
      </c>
      <c r="Z11" s="44">
        <f t="shared" si="8"/>
        <v>300</v>
      </c>
      <c r="AA11" s="44">
        <f t="shared" si="8"/>
        <v>0</v>
      </c>
      <c r="AB11" s="44">
        <f>(AB39+AB40)*$Q45*$Q46</f>
        <v>0</v>
      </c>
      <c r="AC11" s="45">
        <f>SUM(Q11:AB11)</f>
        <v>1300</v>
      </c>
      <c r="AD11" s="46"/>
    </row>
    <row r="12" spans="1:30" ht="15.75" customHeight="1">
      <c r="A12" s="52" t="s">
        <v>594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5"/>
      <c r="O12" s="46"/>
      <c r="P12" s="52" t="s">
        <v>594</v>
      </c>
      <c r="Q12" s="50"/>
      <c r="R12" s="82" t="s">
        <v>595</v>
      </c>
      <c r="S12" s="51"/>
      <c r="T12" s="82" t="s">
        <v>596</v>
      </c>
      <c r="U12" s="82" t="s">
        <v>597</v>
      </c>
      <c r="V12" s="51"/>
      <c r="W12" s="51"/>
      <c r="X12" s="82" t="s">
        <v>598</v>
      </c>
      <c r="Y12" s="151"/>
      <c r="Z12" s="82" t="s">
        <v>599</v>
      </c>
      <c r="AA12" s="82" t="s">
        <v>597</v>
      </c>
      <c r="AB12" s="51"/>
      <c r="AC12" s="45"/>
      <c r="AD12" s="46"/>
    </row>
    <row r="13" spans="1:30" ht="15.75" customHeight="1">
      <c r="A13" s="49" t="s">
        <v>374</v>
      </c>
      <c r="B13" s="50"/>
      <c r="C13" s="53">
        <f>B51*B52</f>
        <v>500</v>
      </c>
      <c r="D13" s="51"/>
      <c r="E13" s="53">
        <f>C13</f>
        <v>500</v>
      </c>
      <c r="F13" s="51"/>
      <c r="G13" s="51"/>
      <c r="H13" s="51"/>
      <c r="I13" s="53">
        <f>E13</f>
        <v>500</v>
      </c>
      <c r="J13" s="51"/>
      <c r="K13" s="51"/>
      <c r="L13" s="53">
        <f>I13</f>
        <v>500</v>
      </c>
      <c r="M13" s="51"/>
      <c r="N13" s="45">
        <f t="shared" ref="N13:N19" si="9">SUM(B13:M13)</f>
        <v>2000</v>
      </c>
      <c r="O13" s="46"/>
      <c r="P13" s="49" t="s">
        <v>374</v>
      </c>
      <c r="Q13" s="50"/>
      <c r="R13" s="53">
        <f t="shared" ref="R13:AB13" si="10">R51*$Q52</f>
        <v>0</v>
      </c>
      <c r="S13" s="152">
        <f t="shared" si="10"/>
        <v>0</v>
      </c>
      <c r="T13" s="53">
        <f t="shared" si="10"/>
        <v>0</v>
      </c>
      <c r="U13" s="53">
        <f t="shared" si="10"/>
        <v>0</v>
      </c>
      <c r="V13" s="152">
        <f t="shared" si="10"/>
        <v>0</v>
      </c>
      <c r="W13" s="152">
        <f t="shared" si="10"/>
        <v>0</v>
      </c>
      <c r="X13" s="53">
        <f t="shared" si="10"/>
        <v>0</v>
      </c>
      <c r="Y13" s="152">
        <f t="shared" si="10"/>
        <v>0</v>
      </c>
      <c r="Z13" s="53">
        <f t="shared" si="10"/>
        <v>0</v>
      </c>
      <c r="AA13" s="53">
        <f t="shared" si="10"/>
        <v>0</v>
      </c>
      <c r="AB13" s="152">
        <f t="shared" si="10"/>
        <v>0</v>
      </c>
      <c r="AC13" s="45">
        <f t="shared" ref="AC13:AC19" si="11">SUM(Q13:AB13)</f>
        <v>0</v>
      </c>
      <c r="AD13" s="46"/>
    </row>
    <row r="14" spans="1:30" ht="15.75" customHeight="1">
      <c r="A14" s="49" t="s">
        <v>600</v>
      </c>
      <c r="B14" s="50"/>
      <c r="C14" s="53" t="e">
        <f>(#REF!+#REF!)*#REF!</f>
        <v>#REF!</v>
      </c>
      <c r="D14" s="51"/>
      <c r="E14" s="53" t="e">
        <f>C14</f>
        <v>#REF!</v>
      </c>
      <c r="F14" s="51"/>
      <c r="G14" s="51"/>
      <c r="H14" s="51"/>
      <c r="I14" s="53" t="e">
        <f>E14</f>
        <v>#REF!</v>
      </c>
      <c r="J14" s="51"/>
      <c r="K14" s="51"/>
      <c r="L14" s="53" t="e">
        <f>I14</f>
        <v>#REF!</v>
      </c>
      <c r="M14" s="51"/>
      <c r="N14" s="45" t="e">
        <f t="shared" si="9"/>
        <v>#REF!</v>
      </c>
      <c r="O14" s="46"/>
      <c r="P14" s="49" t="s">
        <v>600</v>
      </c>
      <c r="Q14" s="50"/>
      <c r="R14" s="53">
        <f>700*R50</f>
        <v>2100</v>
      </c>
      <c r="S14" s="152">
        <f t="shared" ref="S14:AB14" si="12">700*S50</f>
        <v>0</v>
      </c>
      <c r="T14" s="53">
        <v>600</v>
      </c>
      <c r="U14" s="53">
        <f t="shared" si="12"/>
        <v>1400</v>
      </c>
      <c r="V14" s="152">
        <f t="shared" si="12"/>
        <v>0</v>
      </c>
      <c r="W14" s="152">
        <f t="shared" si="12"/>
        <v>0</v>
      </c>
      <c r="X14" s="53">
        <f t="shared" si="12"/>
        <v>1400</v>
      </c>
      <c r="Y14" s="152">
        <f>700*Y50</f>
        <v>1400</v>
      </c>
      <c r="Z14" s="53">
        <f t="shared" si="12"/>
        <v>1400</v>
      </c>
      <c r="AA14" s="53">
        <f t="shared" si="12"/>
        <v>0</v>
      </c>
      <c r="AB14" s="152">
        <f t="shared" si="12"/>
        <v>0</v>
      </c>
      <c r="AC14" s="45">
        <f t="shared" si="11"/>
        <v>8300</v>
      </c>
      <c r="AD14" s="46"/>
    </row>
    <row r="15" spans="1:30" ht="15.75" customHeight="1">
      <c r="A15" s="49" t="s">
        <v>601</v>
      </c>
      <c r="B15" s="50"/>
      <c r="C15" s="53" t="e">
        <f>(#REF!+#REF!)*B48*3</f>
        <v>#REF!</v>
      </c>
      <c r="D15" s="51"/>
      <c r="E15" s="53" t="e">
        <f>C15</f>
        <v>#REF!</v>
      </c>
      <c r="F15" s="51"/>
      <c r="G15" s="51"/>
      <c r="H15" s="51"/>
      <c r="I15" s="53" t="e">
        <f>E15</f>
        <v>#REF!</v>
      </c>
      <c r="J15" s="51"/>
      <c r="K15" s="51"/>
      <c r="L15" s="53" t="e">
        <f>I15</f>
        <v>#REF!</v>
      </c>
      <c r="M15" s="51"/>
      <c r="N15" s="45" t="e">
        <f t="shared" si="9"/>
        <v>#REF!</v>
      </c>
      <c r="O15" s="46"/>
      <c r="P15" s="49" t="s">
        <v>601</v>
      </c>
      <c r="Q15" s="50"/>
      <c r="R15" s="53">
        <f>7*Q48</f>
        <v>1400</v>
      </c>
      <c r="S15" s="83">
        <f>S50*$Q48*3</f>
        <v>0</v>
      </c>
      <c r="T15" s="159">
        <v>450</v>
      </c>
      <c r="U15" s="159">
        <f t="shared" ref="U15:AA15" si="13">U50*$Q48*3</f>
        <v>1200</v>
      </c>
      <c r="V15" s="83">
        <f t="shared" si="13"/>
        <v>0</v>
      </c>
      <c r="W15" s="83">
        <f t="shared" si="13"/>
        <v>0</v>
      </c>
      <c r="X15" s="159">
        <f t="shared" si="13"/>
        <v>1200</v>
      </c>
      <c r="Y15" s="83">
        <f>Y50*$Q48*2</f>
        <v>800</v>
      </c>
      <c r="Z15" s="159">
        <f t="shared" si="13"/>
        <v>1200</v>
      </c>
      <c r="AA15" s="159">
        <f t="shared" si="13"/>
        <v>0</v>
      </c>
      <c r="AB15" s="83">
        <f>AB50*$Q48*3</f>
        <v>0</v>
      </c>
      <c r="AC15" s="45">
        <f t="shared" si="11"/>
        <v>6250</v>
      </c>
      <c r="AD15" s="46"/>
    </row>
    <row r="16" spans="1:30" ht="15.75" customHeight="1">
      <c r="A16" s="49" t="s">
        <v>192</v>
      </c>
      <c r="B16" s="50"/>
      <c r="C16" s="53">
        <f>(B32*B54)+(B32*B55)</f>
        <v>1200</v>
      </c>
      <c r="D16" s="51"/>
      <c r="E16" s="53">
        <f>(D32*$B$54)+($D$32*$B$55)</f>
        <v>600</v>
      </c>
      <c r="F16" s="51"/>
      <c r="G16" s="51"/>
      <c r="H16" s="51"/>
      <c r="I16" s="53">
        <f>(H32*$B$54)+(H32*$B$55)</f>
        <v>600</v>
      </c>
      <c r="J16" s="51"/>
      <c r="K16" s="51"/>
      <c r="L16" s="53">
        <f>(K32*$B$54)+(K32*$B$55)</f>
        <v>1500</v>
      </c>
      <c r="M16" s="51"/>
      <c r="N16" s="45">
        <f>SUM(B16:M16)</f>
        <v>3900</v>
      </c>
      <c r="O16" s="46"/>
      <c r="P16" s="49" t="s">
        <v>192</v>
      </c>
      <c r="Q16" s="50"/>
      <c r="R16" s="53">
        <f>Q32*Q54</f>
        <v>200</v>
      </c>
      <c r="S16" s="83">
        <f t="shared" ref="S16:AB16" si="14">(R32*$Q54)+(R32*$Q55)</f>
        <v>0</v>
      </c>
      <c r="T16" s="53">
        <f t="shared" si="14"/>
        <v>0</v>
      </c>
      <c r="U16" s="53">
        <f t="shared" si="14"/>
        <v>0</v>
      </c>
      <c r="V16" s="83">
        <f t="shared" si="14"/>
        <v>0</v>
      </c>
      <c r="W16" s="83">
        <f t="shared" si="14"/>
        <v>0</v>
      </c>
      <c r="X16" s="53">
        <f t="shared" si="14"/>
        <v>1500</v>
      </c>
      <c r="Y16" s="152">
        <f t="shared" si="14"/>
        <v>0</v>
      </c>
      <c r="Z16" s="53">
        <f t="shared" si="14"/>
        <v>900</v>
      </c>
      <c r="AA16" s="53">
        <f t="shared" si="14"/>
        <v>900</v>
      </c>
      <c r="AB16" s="83">
        <f t="shared" si="14"/>
        <v>0</v>
      </c>
      <c r="AC16" s="45">
        <f t="shared" si="11"/>
        <v>3500</v>
      </c>
      <c r="AD16" s="46"/>
    </row>
    <row r="17" spans="1:30" ht="15.75" customHeight="1">
      <c r="A17" s="49" t="s">
        <v>602</v>
      </c>
      <c r="B17" s="50"/>
      <c r="C17" s="53">
        <f>B32*B56</f>
        <v>600</v>
      </c>
      <c r="D17" s="51"/>
      <c r="E17" s="53">
        <f>$D$32*$B$56</f>
        <v>300</v>
      </c>
      <c r="F17" s="51"/>
      <c r="G17" s="51"/>
      <c r="H17" s="51"/>
      <c r="I17" s="53">
        <f>H32*$B$56</f>
        <v>300</v>
      </c>
      <c r="J17" s="51"/>
      <c r="K17" s="51"/>
      <c r="L17" s="53">
        <f>K32*$B$56</f>
        <v>750</v>
      </c>
      <c r="M17" s="51"/>
      <c r="N17" s="45">
        <f t="shared" si="9"/>
        <v>1950</v>
      </c>
      <c r="O17" s="46"/>
      <c r="P17" s="49" t="s">
        <v>602</v>
      </c>
      <c r="Q17" s="50"/>
      <c r="R17" s="53">
        <f t="shared" ref="R17:AB17" si="15">Q32*$Q56</f>
        <v>600</v>
      </c>
      <c r="S17" s="83">
        <f t="shared" si="15"/>
        <v>0</v>
      </c>
      <c r="T17" s="53">
        <f t="shared" si="15"/>
        <v>0</v>
      </c>
      <c r="U17" s="53">
        <f t="shared" si="15"/>
        <v>0</v>
      </c>
      <c r="V17" s="83">
        <f t="shared" si="15"/>
        <v>0</v>
      </c>
      <c r="W17" s="83">
        <f t="shared" si="15"/>
        <v>0</v>
      </c>
      <c r="X17" s="53">
        <f t="shared" si="15"/>
        <v>1500</v>
      </c>
      <c r="Y17" s="152">
        <f t="shared" si="15"/>
        <v>0</v>
      </c>
      <c r="Z17" s="53">
        <f t="shared" si="15"/>
        <v>900</v>
      </c>
      <c r="AA17" s="53">
        <f t="shared" si="15"/>
        <v>900</v>
      </c>
      <c r="AB17" s="83">
        <f t="shared" si="15"/>
        <v>0</v>
      </c>
      <c r="AC17" s="45">
        <f t="shared" si="11"/>
        <v>3900</v>
      </c>
      <c r="AD17" s="46"/>
    </row>
    <row r="18" spans="1:30" ht="15.75" customHeight="1">
      <c r="A18" s="52" t="s">
        <v>603</v>
      </c>
      <c r="B18" s="44">
        <f>B57*B58</f>
        <v>1650</v>
      </c>
      <c r="C18" s="53">
        <f t="shared" ref="C18:M18" si="16">C57*$B58</f>
        <v>1650</v>
      </c>
      <c r="D18" s="55">
        <f t="shared" si="16"/>
        <v>1350</v>
      </c>
      <c r="E18" s="53">
        <f t="shared" si="16"/>
        <v>1350</v>
      </c>
      <c r="F18" s="55">
        <f t="shared" si="16"/>
        <v>1350</v>
      </c>
      <c r="G18" s="55">
        <f t="shared" si="16"/>
        <v>1350</v>
      </c>
      <c r="H18" s="55">
        <f t="shared" si="16"/>
        <v>1650</v>
      </c>
      <c r="I18" s="53">
        <f t="shared" si="16"/>
        <v>1650</v>
      </c>
      <c r="J18" s="55">
        <f t="shared" si="16"/>
        <v>1050</v>
      </c>
      <c r="K18" s="55">
        <f t="shared" si="16"/>
        <v>1500</v>
      </c>
      <c r="L18" s="53">
        <f t="shared" si="16"/>
        <v>1500</v>
      </c>
      <c r="M18" s="55">
        <f t="shared" si="16"/>
        <v>1500</v>
      </c>
      <c r="N18" s="45">
        <f t="shared" si="9"/>
        <v>17550</v>
      </c>
      <c r="O18" s="46"/>
      <c r="P18" s="52" t="s">
        <v>603</v>
      </c>
      <c r="Q18" s="44">
        <f>Q57*Q58</f>
        <v>4000</v>
      </c>
      <c r="R18" s="53">
        <f>R57*$Q58</f>
        <v>3750</v>
      </c>
      <c r="S18" s="83">
        <f t="shared" ref="S18:AB18" si="17">S57*$Q58</f>
        <v>3500</v>
      </c>
      <c r="T18" s="53">
        <f t="shared" si="17"/>
        <v>3250</v>
      </c>
      <c r="U18" s="53">
        <f t="shared" si="17"/>
        <v>3250</v>
      </c>
      <c r="V18" s="83">
        <f t="shared" si="17"/>
        <v>3250</v>
      </c>
      <c r="W18" s="83">
        <f t="shared" si="17"/>
        <v>3250</v>
      </c>
      <c r="X18" s="53">
        <f t="shared" si="17"/>
        <v>4000</v>
      </c>
      <c r="Y18" s="152">
        <f t="shared" si="17"/>
        <v>4000</v>
      </c>
      <c r="Z18" s="53">
        <f t="shared" si="17"/>
        <v>4750</v>
      </c>
      <c r="AA18" s="53">
        <f t="shared" si="17"/>
        <v>5500</v>
      </c>
      <c r="AB18" s="83">
        <f t="shared" si="17"/>
        <v>4750</v>
      </c>
      <c r="AC18" s="45">
        <f t="shared" si="11"/>
        <v>47250</v>
      </c>
      <c r="AD18" s="46"/>
    </row>
    <row r="19" spans="1:30" ht="15.75" customHeight="1">
      <c r="A19" s="49" t="s">
        <v>604</v>
      </c>
      <c r="B19" s="44">
        <v>2100</v>
      </c>
      <c r="C19" s="53">
        <v>2100</v>
      </c>
      <c r="D19" s="44">
        <v>2100</v>
      </c>
      <c r="E19" s="54"/>
      <c r="F19" s="51"/>
      <c r="G19" s="51"/>
      <c r="H19" s="51"/>
      <c r="I19" s="54"/>
      <c r="J19" s="51"/>
      <c r="K19" s="51"/>
      <c r="L19" s="54"/>
      <c r="M19" s="44">
        <v>2100</v>
      </c>
      <c r="N19" s="45">
        <f t="shared" si="9"/>
        <v>8400</v>
      </c>
      <c r="O19" s="46"/>
      <c r="P19" s="49" t="s">
        <v>604</v>
      </c>
      <c r="Q19" s="44">
        <v>0</v>
      </c>
      <c r="R19" s="53">
        <v>1333.33</v>
      </c>
      <c r="S19" s="44">
        <v>1333.33</v>
      </c>
      <c r="T19" s="53">
        <v>1467</v>
      </c>
      <c r="U19" s="53">
        <v>0</v>
      </c>
      <c r="V19" s="44">
        <v>0</v>
      </c>
      <c r="W19" s="44">
        <v>0</v>
      </c>
      <c r="X19" s="53">
        <v>0</v>
      </c>
      <c r="Y19" s="154">
        <v>0</v>
      </c>
      <c r="Z19" s="53">
        <v>0</v>
      </c>
      <c r="AA19" s="53">
        <v>0</v>
      </c>
      <c r="AB19" s="44">
        <v>0</v>
      </c>
      <c r="AC19" s="45">
        <f t="shared" si="11"/>
        <v>4133.66</v>
      </c>
      <c r="AD19" s="46"/>
    </row>
    <row r="20" spans="1:30" ht="15.75" customHeight="1">
      <c r="A20" s="52" t="s">
        <v>605</v>
      </c>
      <c r="B20" s="50"/>
      <c r="C20" s="54"/>
      <c r="D20" s="51"/>
      <c r="E20" s="54"/>
      <c r="F20" s="51"/>
      <c r="G20" s="51"/>
      <c r="H20" s="51"/>
      <c r="I20" s="54"/>
      <c r="J20" s="51"/>
      <c r="K20" s="51"/>
      <c r="L20" s="54"/>
      <c r="M20" s="51"/>
      <c r="N20" s="45"/>
      <c r="O20" s="46"/>
      <c r="P20" s="52" t="s">
        <v>605</v>
      </c>
      <c r="Q20" s="50"/>
      <c r="R20" s="54"/>
      <c r="S20" s="51"/>
      <c r="T20" s="54"/>
      <c r="U20" s="53"/>
      <c r="V20" s="51"/>
      <c r="W20" s="51"/>
      <c r="X20" s="54"/>
      <c r="Y20" s="153"/>
      <c r="Z20" s="53"/>
      <c r="AA20" s="54"/>
      <c r="AB20" s="51"/>
      <c r="AC20" s="45"/>
      <c r="AD20" s="46"/>
    </row>
    <row r="21" spans="1:30" ht="15.75" customHeight="1">
      <c r="A21" s="49" t="s">
        <v>606</v>
      </c>
      <c r="B21" s="50"/>
      <c r="C21" s="53">
        <f>$B$60*$B$61</f>
        <v>1000</v>
      </c>
      <c r="D21" s="51"/>
      <c r="E21" s="54"/>
      <c r="F21" s="51"/>
      <c r="G21" s="51"/>
      <c r="H21" s="51"/>
      <c r="I21" s="53">
        <f>$B$60*$B$61</f>
        <v>1000</v>
      </c>
      <c r="J21" s="51"/>
      <c r="K21" s="51"/>
      <c r="L21" s="53">
        <f>$B$60*$B$61</f>
        <v>1000</v>
      </c>
      <c r="M21" s="51"/>
      <c r="N21" s="45">
        <f>SUM(B21:M21)</f>
        <v>3000</v>
      </c>
      <c r="O21" s="46"/>
      <c r="P21" s="49" t="s">
        <v>606</v>
      </c>
      <c r="Q21" s="50"/>
      <c r="R21" s="53">
        <f>R60*$Q61</f>
        <v>1250</v>
      </c>
      <c r="S21" s="44">
        <f t="shared" ref="S21:AB21" si="18">S60*$Q61</f>
        <v>0</v>
      </c>
      <c r="T21" s="53">
        <f t="shared" si="18"/>
        <v>0</v>
      </c>
      <c r="U21" s="53">
        <f t="shared" si="18"/>
        <v>250</v>
      </c>
      <c r="V21" s="44">
        <f t="shared" si="18"/>
        <v>0</v>
      </c>
      <c r="W21" s="44">
        <f t="shared" si="18"/>
        <v>0</v>
      </c>
      <c r="X21" s="53">
        <f t="shared" si="18"/>
        <v>1000</v>
      </c>
      <c r="Y21" s="154">
        <f t="shared" si="18"/>
        <v>0</v>
      </c>
      <c r="Z21" s="53">
        <v>0</v>
      </c>
      <c r="AA21" s="53">
        <f t="shared" si="18"/>
        <v>500</v>
      </c>
      <c r="AB21" s="44">
        <f t="shared" si="18"/>
        <v>0</v>
      </c>
      <c r="AC21" s="45">
        <f>SUM(Q21:AB21)</f>
        <v>3000</v>
      </c>
      <c r="AD21" s="46"/>
    </row>
    <row r="22" spans="1:30" ht="15.75" customHeight="1">
      <c r="A22" s="49" t="s">
        <v>192</v>
      </c>
      <c r="B22" s="50"/>
      <c r="C22" s="53" t="e">
        <f>(#REF!+$B$38+#REF!)*3*B63</f>
        <v>#REF!</v>
      </c>
      <c r="D22" s="51"/>
      <c r="E22" s="54"/>
      <c r="F22" s="51"/>
      <c r="G22" s="51"/>
      <c r="H22" s="51"/>
      <c r="I22" s="56" t="e">
        <f>(#REF!+H38+#REF!)*3*B63</f>
        <v>#REF!</v>
      </c>
      <c r="J22" s="51"/>
      <c r="K22" s="51"/>
      <c r="L22" s="53">
        <f>3*3*B63</f>
        <v>180</v>
      </c>
      <c r="M22" s="51"/>
      <c r="N22" s="45" t="e">
        <f>SUM(B22:M22)</f>
        <v>#REF!</v>
      </c>
      <c r="O22" s="46" t="e">
        <f>SUM(N9:N23)</f>
        <v>#REF!</v>
      </c>
      <c r="P22" s="49" t="s">
        <v>192</v>
      </c>
      <c r="Q22" s="50"/>
      <c r="R22" s="53">
        <f>10*4*$Q63</f>
        <v>400</v>
      </c>
      <c r="S22" s="152"/>
      <c r="T22" s="53">
        <f>(4)*4*$Q63</f>
        <v>160</v>
      </c>
      <c r="U22" s="53">
        <f>(4)*4*$Q63</f>
        <v>160</v>
      </c>
      <c r="V22" s="152"/>
      <c r="W22" s="152"/>
      <c r="X22" s="53">
        <f>(10)*4*$Q63</f>
        <v>400</v>
      </c>
      <c r="Y22" s="152"/>
      <c r="Z22" s="53">
        <f>(5)*4*$Q63</f>
        <v>200</v>
      </c>
      <c r="AA22" s="53">
        <f>(8)*4*$Q63</f>
        <v>320</v>
      </c>
      <c r="AB22" s="152"/>
      <c r="AC22" s="45">
        <f>SUM(Q22:AB22)</f>
        <v>1640</v>
      </c>
      <c r="AD22" s="46">
        <f>SUM(AC9:AC23)</f>
        <v>90793.66</v>
      </c>
    </row>
    <row r="23" spans="1:30" ht="15.75" customHeight="1">
      <c r="A23" s="49" t="s">
        <v>602</v>
      </c>
      <c r="B23" s="50"/>
      <c r="C23" s="53" t="e">
        <f>(#REF!+$B$38+#REF!)*3*B62</f>
        <v>#REF!</v>
      </c>
      <c r="D23" s="51"/>
      <c r="E23" s="54"/>
      <c r="F23" s="51"/>
      <c r="G23" s="51"/>
      <c r="H23" s="51"/>
      <c r="I23" s="56" t="e">
        <f>(#REF!+H38+#REF!)*3*B62</f>
        <v>#REF!</v>
      </c>
      <c r="J23" s="51"/>
      <c r="K23" s="51"/>
      <c r="L23" s="53">
        <f>3*3*B62</f>
        <v>180</v>
      </c>
      <c r="M23" s="51"/>
      <c r="N23" s="45" t="e">
        <f>SUM(B23:M23)</f>
        <v>#REF!</v>
      </c>
      <c r="O23" s="46"/>
      <c r="P23" s="49" t="s">
        <v>602</v>
      </c>
      <c r="Q23" s="50"/>
      <c r="R23" s="53">
        <f>10*4*$Q62</f>
        <v>800</v>
      </c>
      <c r="S23" s="152"/>
      <c r="T23" s="53">
        <f>7*4*$Q62</f>
        <v>560</v>
      </c>
      <c r="U23" s="53">
        <f>7*4*$Q62</f>
        <v>560</v>
      </c>
      <c r="V23" s="152"/>
      <c r="W23" s="152"/>
      <c r="X23" s="53">
        <f>10*4*$Q62</f>
        <v>800</v>
      </c>
      <c r="Y23" s="152"/>
      <c r="Z23" s="53">
        <f>10*4*$Q62</f>
        <v>800</v>
      </c>
      <c r="AA23" s="53">
        <f>10*4*$Q62</f>
        <v>800</v>
      </c>
      <c r="AB23" s="152"/>
      <c r="AC23" s="45">
        <f>SUM(Q23:AB23)</f>
        <v>4320</v>
      </c>
      <c r="AD23" s="46"/>
    </row>
    <row r="24" spans="1:30" ht="15.75" customHeight="1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45"/>
      <c r="O24" s="46"/>
      <c r="P24" s="49"/>
      <c r="Q24" s="50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45"/>
      <c r="AD24" s="46"/>
    </row>
    <row r="25" spans="1:30" ht="15.75" customHeight="1">
      <c r="A25" s="57" t="s">
        <v>590</v>
      </c>
      <c r="B25" s="58">
        <f t="shared" ref="B25:M25" si="19">SUM(B9:B24)</f>
        <v>6690</v>
      </c>
      <c r="C25" s="58" t="e">
        <f t="shared" si="19"/>
        <v>#REF!</v>
      </c>
      <c r="D25" s="58">
        <f t="shared" si="19"/>
        <v>5320</v>
      </c>
      <c r="E25" s="58" t="e">
        <f t="shared" si="19"/>
        <v>#REF!</v>
      </c>
      <c r="F25" s="58">
        <f t="shared" si="19"/>
        <v>1350</v>
      </c>
      <c r="G25" s="58">
        <f t="shared" si="19"/>
        <v>1350</v>
      </c>
      <c r="H25" s="58">
        <f t="shared" si="19"/>
        <v>2720</v>
      </c>
      <c r="I25" s="58" t="e">
        <f t="shared" si="19"/>
        <v>#REF!</v>
      </c>
      <c r="J25" s="58">
        <f t="shared" si="19"/>
        <v>1050</v>
      </c>
      <c r="K25" s="58">
        <f t="shared" si="19"/>
        <v>3975</v>
      </c>
      <c r="L25" s="58" t="e">
        <f t="shared" si="19"/>
        <v>#REF!</v>
      </c>
      <c r="M25" s="58">
        <f t="shared" si="19"/>
        <v>3600</v>
      </c>
      <c r="N25" s="59" t="e">
        <f>SUM(B25:M25)</f>
        <v>#REF!</v>
      </c>
      <c r="O25" s="36"/>
      <c r="P25" s="57" t="s">
        <v>590</v>
      </c>
      <c r="Q25" s="58">
        <f t="shared" ref="Q25:AB25" si="20">SUM(Q9:Q24)</f>
        <v>5000</v>
      </c>
      <c r="R25" s="58">
        <f t="shared" si="20"/>
        <v>12083.33</v>
      </c>
      <c r="S25" s="58">
        <f t="shared" si="20"/>
        <v>5583.33</v>
      </c>
      <c r="T25" s="58">
        <f t="shared" si="20"/>
        <v>6487</v>
      </c>
      <c r="U25" s="58">
        <f t="shared" si="20"/>
        <v>7820</v>
      </c>
      <c r="V25" s="58">
        <f t="shared" si="20"/>
        <v>3250</v>
      </c>
      <c r="W25" s="58">
        <f t="shared" si="20"/>
        <v>5750</v>
      </c>
      <c r="X25" s="58">
        <f t="shared" si="20"/>
        <v>11800</v>
      </c>
      <c r="Y25" s="58">
        <f t="shared" si="20"/>
        <v>7700</v>
      </c>
      <c r="Z25" s="58">
        <f t="shared" si="20"/>
        <v>11650</v>
      </c>
      <c r="AA25" s="58">
        <f t="shared" si="20"/>
        <v>8920</v>
      </c>
      <c r="AB25" s="58">
        <f t="shared" si="20"/>
        <v>4750</v>
      </c>
      <c r="AC25" s="59">
        <f>SUM(Q25:AB25)</f>
        <v>90793.66</v>
      </c>
      <c r="AD25" s="36"/>
    </row>
    <row r="26" spans="1:30" ht="15.75" customHeight="1">
      <c r="A26" s="57"/>
      <c r="B26" s="3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45"/>
      <c r="O26" s="46"/>
      <c r="P26" s="57"/>
      <c r="Q26" s="34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45"/>
      <c r="AD26" s="46"/>
    </row>
    <row r="27" spans="1:30" ht="15.75" customHeight="1">
      <c r="A27" s="61" t="s">
        <v>607</v>
      </c>
      <c r="B27" s="45" t="e">
        <f t="shared" ref="B27:N27" si="21">B5-B25</f>
        <v>#REF!</v>
      </c>
      <c r="C27" s="45" t="e">
        <f t="shared" si="21"/>
        <v>#REF!</v>
      </c>
      <c r="D27" s="45" t="e">
        <f t="shared" si="21"/>
        <v>#REF!</v>
      </c>
      <c r="E27" s="45" t="e">
        <f t="shared" si="21"/>
        <v>#REF!</v>
      </c>
      <c r="F27" s="45" t="e">
        <f t="shared" si="21"/>
        <v>#REF!</v>
      </c>
      <c r="G27" s="45" t="e">
        <f t="shared" si="21"/>
        <v>#REF!</v>
      </c>
      <c r="H27" s="45" t="e">
        <f t="shared" si="21"/>
        <v>#REF!</v>
      </c>
      <c r="I27" s="45" t="e">
        <f t="shared" si="21"/>
        <v>#REF!</v>
      </c>
      <c r="J27" s="45" t="e">
        <f t="shared" si="21"/>
        <v>#REF!</v>
      </c>
      <c r="K27" s="45" t="e">
        <f t="shared" si="21"/>
        <v>#REF!</v>
      </c>
      <c r="L27" s="45" t="e">
        <f t="shared" si="21"/>
        <v>#REF!</v>
      </c>
      <c r="M27" s="45" t="e">
        <f t="shared" si="21"/>
        <v>#REF!</v>
      </c>
      <c r="N27" s="45" t="e">
        <f t="shared" si="21"/>
        <v>#REF!</v>
      </c>
      <c r="O27" s="46"/>
      <c r="P27" s="61" t="s">
        <v>607</v>
      </c>
      <c r="Q27" s="45">
        <f t="shared" ref="Q27:AC27" si="22">Q5-Q25</f>
        <v>5294</v>
      </c>
      <c r="R27" s="45">
        <f t="shared" si="22"/>
        <v>-5039.33</v>
      </c>
      <c r="S27" s="45">
        <f t="shared" si="22"/>
        <v>1959.17</v>
      </c>
      <c r="T27" s="45">
        <f t="shared" si="22"/>
        <v>1554</v>
      </c>
      <c r="U27" s="45">
        <f t="shared" si="22"/>
        <v>221</v>
      </c>
      <c r="V27" s="45">
        <f t="shared" si="22"/>
        <v>2796</v>
      </c>
      <c r="W27" s="45">
        <f t="shared" si="22"/>
        <v>5876</v>
      </c>
      <c r="X27" s="45">
        <f t="shared" si="22"/>
        <v>-4711.5</v>
      </c>
      <c r="Y27" s="45">
        <f t="shared" si="22"/>
        <v>4176.5</v>
      </c>
      <c r="Z27" s="45">
        <f t="shared" si="22"/>
        <v>1723.5</v>
      </c>
      <c r="AA27" s="45">
        <f t="shared" si="22"/>
        <v>1162.5</v>
      </c>
      <c r="AB27" s="45">
        <f t="shared" si="22"/>
        <v>3835.5</v>
      </c>
      <c r="AC27" s="45">
        <f t="shared" si="22"/>
        <v>18847.339999999997</v>
      </c>
      <c r="AD27" s="46"/>
    </row>
    <row r="28" spans="1:30" ht="15.75" customHeight="1">
      <c r="A28" s="61" t="s">
        <v>608</v>
      </c>
      <c r="B28" s="45" t="e">
        <f>B27</f>
        <v>#REF!</v>
      </c>
      <c r="C28" s="45" t="e">
        <f t="shared" ref="C28:M28" si="23">C27+B28</f>
        <v>#REF!</v>
      </c>
      <c r="D28" s="45" t="e">
        <f t="shared" si="23"/>
        <v>#REF!</v>
      </c>
      <c r="E28" s="45" t="e">
        <f t="shared" si="23"/>
        <v>#REF!</v>
      </c>
      <c r="F28" s="45" t="e">
        <f t="shared" si="23"/>
        <v>#REF!</v>
      </c>
      <c r="G28" s="45" t="e">
        <f t="shared" si="23"/>
        <v>#REF!</v>
      </c>
      <c r="H28" s="45" t="e">
        <f t="shared" si="23"/>
        <v>#REF!</v>
      </c>
      <c r="I28" s="45" t="e">
        <f t="shared" si="23"/>
        <v>#REF!</v>
      </c>
      <c r="J28" s="45" t="e">
        <f t="shared" si="23"/>
        <v>#REF!</v>
      </c>
      <c r="K28" s="45" t="e">
        <f t="shared" si="23"/>
        <v>#REF!</v>
      </c>
      <c r="L28" s="45" t="e">
        <f t="shared" si="23"/>
        <v>#REF!</v>
      </c>
      <c r="M28" s="45" t="e">
        <f t="shared" si="23"/>
        <v>#REF!</v>
      </c>
      <c r="N28" s="62"/>
      <c r="O28" s="63"/>
      <c r="P28" s="61" t="s">
        <v>608</v>
      </c>
      <c r="Q28" s="45">
        <f>Q27</f>
        <v>5294</v>
      </c>
      <c r="R28" s="45">
        <f t="shared" ref="R28:AB28" si="24">R27+Q28</f>
        <v>254.67000000000007</v>
      </c>
      <c r="S28" s="45">
        <f t="shared" si="24"/>
        <v>2213.84</v>
      </c>
      <c r="T28" s="45">
        <f t="shared" si="24"/>
        <v>3767.84</v>
      </c>
      <c r="U28" s="45">
        <f t="shared" si="24"/>
        <v>3988.84</v>
      </c>
      <c r="V28" s="45">
        <f t="shared" si="24"/>
        <v>6784.84</v>
      </c>
      <c r="W28" s="45">
        <f t="shared" si="24"/>
        <v>12660.84</v>
      </c>
      <c r="X28" s="45">
        <f t="shared" si="24"/>
        <v>7949.34</v>
      </c>
      <c r="Y28" s="45">
        <f t="shared" si="24"/>
        <v>12125.84</v>
      </c>
      <c r="Z28" s="45">
        <f t="shared" si="24"/>
        <v>13849.34</v>
      </c>
      <c r="AA28" s="45">
        <f t="shared" si="24"/>
        <v>15011.84</v>
      </c>
      <c r="AB28" s="45">
        <f t="shared" si="24"/>
        <v>18847.34</v>
      </c>
      <c r="AC28" s="62"/>
      <c r="AD28" s="63"/>
    </row>
    <row r="29" spans="1:30" ht="15.75" customHeight="1">
      <c r="A29" s="4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60"/>
      <c r="O29" s="64"/>
      <c r="P29" s="49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60"/>
      <c r="AD29" s="64"/>
    </row>
    <row r="30" spans="1:30" ht="15.75" customHeight="1">
      <c r="A30" s="52" t="s">
        <v>609</v>
      </c>
      <c r="B30" s="34"/>
      <c r="C30" s="34" t="s">
        <v>594</v>
      </c>
      <c r="D30" s="60"/>
      <c r="E30" s="34" t="s">
        <v>594</v>
      </c>
      <c r="F30" s="60"/>
      <c r="G30" s="60"/>
      <c r="H30" s="60"/>
      <c r="I30" s="34" t="s">
        <v>594</v>
      </c>
      <c r="J30" s="60"/>
      <c r="K30" s="60"/>
      <c r="L30" s="34" t="s">
        <v>594</v>
      </c>
      <c r="M30" s="60"/>
      <c r="N30" s="60"/>
      <c r="O30" s="64"/>
      <c r="P30" s="52" t="s">
        <v>609</v>
      </c>
      <c r="Q30" s="34"/>
      <c r="R30" s="34" t="s">
        <v>594</v>
      </c>
      <c r="S30" s="60"/>
      <c r="T30" s="34" t="s">
        <v>594</v>
      </c>
      <c r="U30" s="60"/>
      <c r="V30" s="60"/>
      <c r="W30" s="60"/>
      <c r="X30" s="34" t="s">
        <v>594</v>
      </c>
      <c r="Y30" s="60"/>
      <c r="Z30" s="60"/>
      <c r="AA30" s="34" t="s">
        <v>594</v>
      </c>
      <c r="AB30" s="60"/>
      <c r="AC30" s="60"/>
      <c r="AD30" s="64"/>
    </row>
    <row r="31" spans="1:30" ht="15.75" customHeight="1">
      <c r="A31" s="33" t="s">
        <v>610</v>
      </c>
      <c r="B31" s="50"/>
      <c r="C31" s="51"/>
      <c r="D31" s="51"/>
      <c r="E31" s="51"/>
      <c r="F31" s="50"/>
      <c r="G31" s="50"/>
      <c r="H31" s="51"/>
      <c r="I31" s="51"/>
      <c r="J31" s="50"/>
      <c r="K31" s="51"/>
      <c r="L31" s="50"/>
      <c r="M31" s="50"/>
      <c r="N31" s="60"/>
      <c r="O31" s="64"/>
      <c r="P31" s="33" t="s">
        <v>610</v>
      </c>
      <c r="Q31" s="50"/>
      <c r="R31" s="51"/>
      <c r="S31" s="51"/>
      <c r="T31" s="51"/>
      <c r="U31" s="50"/>
      <c r="V31" s="50"/>
      <c r="W31" s="51"/>
      <c r="X31" s="51"/>
      <c r="Y31" s="50"/>
      <c r="Z31" s="51"/>
      <c r="AA31" s="50"/>
      <c r="AB31" s="50"/>
      <c r="AC31" s="60"/>
      <c r="AD31" s="64"/>
    </row>
    <row r="32" spans="1:30" ht="15.75" customHeight="1">
      <c r="A32" s="49" t="s">
        <v>611</v>
      </c>
      <c r="B32" s="50">
        <f>B39*3</f>
        <v>12</v>
      </c>
      <c r="C32" s="50">
        <f>C39*3</f>
        <v>0</v>
      </c>
      <c r="D32" s="50">
        <f t="shared" ref="D32:M32" si="25">D39*3</f>
        <v>6</v>
      </c>
      <c r="E32" s="50">
        <f t="shared" si="25"/>
        <v>0</v>
      </c>
      <c r="F32" s="50">
        <f t="shared" si="25"/>
        <v>0</v>
      </c>
      <c r="G32" s="50">
        <f t="shared" si="25"/>
        <v>0</v>
      </c>
      <c r="H32" s="50">
        <f t="shared" si="25"/>
        <v>6</v>
      </c>
      <c r="I32" s="50">
        <f t="shared" si="25"/>
        <v>0</v>
      </c>
      <c r="J32" s="50">
        <f t="shared" si="25"/>
        <v>0</v>
      </c>
      <c r="K32" s="50">
        <f>K39*5</f>
        <v>15</v>
      </c>
      <c r="L32" s="50">
        <f t="shared" si="25"/>
        <v>0</v>
      </c>
      <c r="M32" s="50">
        <f t="shared" si="25"/>
        <v>0</v>
      </c>
      <c r="N32" s="60"/>
      <c r="O32" s="64"/>
      <c r="P32" s="49" t="s">
        <v>612</v>
      </c>
      <c r="Q32" s="155">
        <f>(Q39*4)+(Q40*4)</f>
        <v>8</v>
      </c>
      <c r="R32" s="155">
        <f t="shared" ref="R32:AB32" si="26">(R39*4)+(R40*4)</f>
        <v>0</v>
      </c>
      <c r="S32" s="155">
        <f t="shared" si="26"/>
        <v>0</v>
      </c>
      <c r="T32" s="155">
        <f t="shared" si="26"/>
        <v>0</v>
      </c>
      <c r="U32" s="155">
        <f t="shared" si="26"/>
        <v>0</v>
      </c>
      <c r="V32" s="155">
        <f t="shared" si="26"/>
        <v>0</v>
      </c>
      <c r="W32" s="155">
        <f t="shared" si="26"/>
        <v>20</v>
      </c>
      <c r="X32" s="155">
        <f>(X39*4)+(X40*4)</f>
        <v>0</v>
      </c>
      <c r="Y32" s="155">
        <f t="shared" si="26"/>
        <v>12</v>
      </c>
      <c r="Z32" s="155">
        <f t="shared" si="26"/>
        <v>12</v>
      </c>
      <c r="AA32" s="155">
        <f t="shared" si="26"/>
        <v>0</v>
      </c>
      <c r="AB32" s="155">
        <f t="shared" si="26"/>
        <v>0</v>
      </c>
      <c r="AC32" s="60">
        <f>SUM(Q32:AB32)</f>
        <v>52</v>
      </c>
      <c r="AD32" s="64"/>
    </row>
    <row r="33" spans="1:30" ht="15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60"/>
      <c r="O33" s="64"/>
      <c r="P33" s="49" t="s">
        <v>613</v>
      </c>
      <c r="Q33" s="44">
        <v>399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60"/>
      <c r="AD33" s="64"/>
    </row>
    <row r="34" spans="1:30" ht="15.7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60"/>
      <c r="O34" s="64"/>
      <c r="P34" s="49" t="s">
        <v>614</v>
      </c>
      <c r="Q34" s="44"/>
      <c r="R34" s="50"/>
      <c r="S34" s="50">
        <v>5</v>
      </c>
      <c r="T34" s="50">
        <v>10</v>
      </c>
      <c r="U34" s="50">
        <v>10</v>
      </c>
      <c r="V34" s="50"/>
      <c r="W34" s="50"/>
      <c r="X34" s="50"/>
      <c r="Y34" s="50"/>
      <c r="Z34" s="50"/>
      <c r="AA34" s="50"/>
      <c r="AB34" s="50"/>
      <c r="AC34" s="60"/>
      <c r="AD34" s="64"/>
    </row>
    <row r="35" spans="1:30" ht="15.75" customHeight="1">
      <c r="A35" s="49" t="s">
        <v>613</v>
      </c>
      <c r="B35" s="44">
        <v>500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60"/>
      <c r="O35" s="64"/>
      <c r="P35" s="49" t="s">
        <v>615</v>
      </c>
      <c r="Q35" s="44">
        <v>199.5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60"/>
      <c r="AD35" s="64"/>
    </row>
    <row r="36" spans="1:30" ht="15.75" customHeight="1">
      <c r="A36" s="49"/>
      <c r="B36" s="4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60"/>
      <c r="O36" s="64"/>
      <c r="P36" s="49" t="s">
        <v>616</v>
      </c>
      <c r="Q36" s="155">
        <v>0</v>
      </c>
      <c r="R36" s="155">
        <f>Q36+Q40</f>
        <v>0</v>
      </c>
      <c r="S36" s="155">
        <f>R36+R40</f>
        <v>0</v>
      </c>
      <c r="T36" s="155">
        <f t="shared" ref="T36:AB36" si="27">S36+S40</f>
        <v>0</v>
      </c>
      <c r="U36" s="155">
        <f t="shared" si="27"/>
        <v>0</v>
      </c>
      <c r="V36" s="155">
        <f t="shared" si="27"/>
        <v>0</v>
      </c>
      <c r="W36" s="155">
        <f t="shared" si="27"/>
        <v>0</v>
      </c>
      <c r="X36" s="155">
        <f t="shared" si="27"/>
        <v>3</v>
      </c>
      <c r="Y36" s="155">
        <f t="shared" si="27"/>
        <v>3</v>
      </c>
      <c r="Z36" s="155">
        <f t="shared" si="27"/>
        <v>3</v>
      </c>
      <c r="AA36" s="155">
        <f t="shared" si="27"/>
        <v>3</v>
      </c>
      <c r="AB36" s="155">
        <f t="shared" si="27"/>
        <v>3</v>
      </c>
      <c r="AC36" s="60"/>
      <c r="AD36" s="64"/>
    </row>
    <row r="37" spans="1:30" ht="15.75" customHeight="1">
      <c r="A37" s="49"/>
      <c r="B37" s="4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60"/>
      <c r="O37" s="64"/>
      <c r="P37" s="49" t="s">
        <v>617</v>
      </c>
      <c r="Q37" s="155">
        <v>6</v>
      </c>
      <c r="R37" s="156">
        <v>3</v>
      </c>
      <c r="S37" s="156">
        <v>3</v>
      </c>
      <c r="T37" s="156">
        <v>3</v>
      </c>
      <c r="U37" s="156">
        <v>3</v>
      </c>
      <c r="V37" s="156">
        <v>3</v>
      </c>
      <c r="W37" s="156">
        <v>3</v>
      </c>
      <c r="X37" s="156">
        <v>1</v>
      </c>
      <c r="Y37" s="156">
        <v>1</v>
      </c>
      <c r="Z37" s="156">
        <v>1</v>
      </c>
      <c r="AA37" s="156">
        <v>1</v>
      </c>
      <c r="AB37" s="156">
        <v>1</v>
      </c>
      <c r="AC37" s="60"/>
      <c r="AD37" s="64"/>
    </row>
    <row r="38" spans="1:30" ht="15.75" customHeight="1">
      <c r="A38" s="49" t="s">
        <v>618</v>
      </c>
      <c r="B38" s="50">
        <v>7</v>
      </c>
      <c r="C38" s="50">
        <f>B38+B39</f>
        <v>11</v>
      </c>
      <c r="D38" s="50">
        <f>C38-4</f>
        <v>7</v>
      </c>
      <c r="E38" s="50">
        <f>D38+D39</f>
        <v>9</v>
      </c>
      <c r="F38" s="50">
        <f>E38</f>
        <v>9</v>
      </c>
      <c r="G38" s="50">
        <f>F38</f>
        <v>9</v>
      </c>
      <c r="H38" s="50">
        <f>G38</f>
        <v>9</v>
      </c>
      <c r="I38" s="50">
        <f>H38+H39</f>
        <v>11</v>
      </c>
      <c r="J38" s="50">
        <f>I38-4</f>
        <v>7</v>
      </c>
      <c r="K38" s="50">
        <f>J38</f>
        <v>7</v>
      </c>
      <c r="L38" s="50">
        <f>K38+K39</f>
        <v>10</v>
      </c>
      <c r="M38" s="50">
        <f>L38</f>
        <v>10</v>
      </c>
      <c r="N38" s="60"/>
      <c r="O38" s="64"/>
      <c r="P38" s="49" t="s">
        <v>619</v>
      </c>
      <c r="Q38" s="50">
        <v>10</v>
      </c>
      <c r="R38" s="50">
        <f>10+Q39</f>
        <v>12</v>
      </c>
      <c r="S38" s="50">
        <f>R38+R39-1</f>
        <v>11</v>
      </c>
      <c r="T38" s="50">
        <f>S38+S39-1</f>
        <v>10</v>
      </c>
      <c r="U38" s="50">
        <f t="shared" ref="U38:AA38" si="28">T38+T39</f>
        <v>10</v>
      </c>
      <c r="V38" s="50">
        <f t="shared" si="28"/>
        <v>10</v>
      </c>
      <c r="W38" s="50">
        <f t="shared" si="28"/>
        <v>10</v>
      </c>
      <c r="X38" s="50">
        <f t="shared" si="28"/>
        <v>12</v>
      </c>
      <c r="Y38" s="50">
        <f t="shared" si="28"/>
        <v>12</v>
      </c>
      <c r="Z38" s="50">
        <f t="shared" si="28"/>
        <v>15</v>
      </c>
      <c r="AA38" s="50">
        <f t="shared" si="28"/>
        <v>18</v>
      </c>
      <c r="AB38" s="50">
        <f>AA38+AA39-3</f>
        <v>15</v>
      </c>
      <c r="AC38" s="60"/>
      <c r="AD38" s="64"/>
    </row>
    <row r="39" spans="1:30" ht="15.75" customHeight="1">
      <c r="A39" s="65" t="s">
        <v>620</v>
      </c>
      <c r="B39" s="66">
        <v>4</v>
      </c>
      <c r="C39" s="50">
        <v>0</v>
      </c>
      <c r="D39" s="66">
        <v>2</v>
      </c>
      <c r="E39" s="50">
        <v>0</v>
      </c>
      <c r="F39" s="50">
        <v>0</v>
      </c>
      <c r="G39" s="50">
        <v>0</v>
      </c>
      <c r="H39" s="66">
        <v>2</v>
      </c>
      <c r="I39" s="50">
        <v>0</v>
      </c>
      <c r="J39" s="50">
        <v>0</v>
      </c>
      <c r="K39" s="66">
        <v>3</v>
      </c>
      <c r="L39" s="50">
        <v>0</v>
      </c>
      <c r="M39" s="50">
        <v>0</v>
      </c>
      <c r="N39" s="60"/>
      <c r="O39" s="64"/>
      <c r="P39" s="65" t="s">
        <v>621</v>
      </c>
      <c r="Q39" s="66">
        <v>2</v>
      </c>
      <c r="R39" s="50">
        <v>0</v>
      </c>
      <c r="S39" s="66"/>
      <c r="T39" s="66">
        <v>0</v>
      </c>
      <c r="U39" s="50">
        <v>0</v>
      </c>
      <c r="V39" s="50">
        <v>0</v>
      </c>
      <c r="W39" s="66">
        <v>2</v>
      </c>
      <c r="X39" s="66">
        <v>0</v>
      </c>
      <c r="Y39" s="66">
        <v>3</v>
      </c>
      <c r="Z39" s="66">
        <v>3</v>
      </c>
      <c r="AA39" s="50">
        <v>0</v>
      </c>
      <c r="AB39" s="50">
        <v>0</v>
      </c>
      <c r="AC39" s="60">
        <f>SUM(Q39:AB39)</f>
        <v>10</v>
      </c>
      <c r="AD39" s="64"/>
    </row>
    <row r="40" spans="1:30" ht="15.75" customHeight="1">
      <c r="A40" s="65"/>
      <c r="B40" s="66"/>
      <c r="C40" s="50"/>
      <c r="D40" s="66"/>
      <c r="E40" s="50"/>
      <c r="F40" s="50"/>
      <c r="G40" s="50"/>
      <c r="H40" s="66"/>
      <c r="I40" s="50"/>
      <c r="J40" s="50"/>
      <c r="K40" s="66"/>
      <c r="L40" s="50"/>
      <c r="M40" s="50"/>
      <c r="N40" s="60"/>
      <c r="O40" s="64"/>
      <c r="P40" s="65" t="s">
        <v>622</v>
      </c>
      <c r="Q40" s="66"/>
      <c r="R40" s="50"/>
      <c r="S40" s="66"/>
      <c r="T40" s="66"/>
      <c r="U40" s="50"/>
      <c r="V40" s="50"/>
      <c r="W40" s="66">
        <v>3</v>
      </c>
      <c r="X40" s="66"/>
      <c r="Y40" s="66"/>
      <c r="Z40" s="66"/>
      <c r="AA40" s="50"/>
      <c r="AB40" s="50"/>
      <c r="AC40" s="60">
        <f>SUM(Q40:AB40)</f>
        <v>3</v>
      </c>
      <c r="AD40" s="64"/>
    </row>
    <row r="41" spans="1:30" ht="15.75" customHeight="1">
      <c r="A41" s="49" t="s">
        <v>623</v>
      </c>
      <c r="B41" s="50">
        <f t="shared" ref="B41:M41" si="29">SUM(B38:B39)</f>
        <v>11</v>
      </c>
      <c r="C41" s="50">
        <f t="shared" si="29"/>
        <v>11</v>
      </c>
      <c r="D41" s="50">
        <f t="shared" si="29"/>
        <v>9</v>
      </c>
      <c r="E41" s="50">
        <f t="shared" si="29"/>
        <v>9</v>
      </c>
      <c r="F41" s="50">
        <f t="shared" si="29"/>
        <v>9</v>
      </c>
      <c r="G41" s="50">
        <f t="shared" si="29"/>
        <v>9</v>
      </c>
      <c r="H41" s="50">
        <f t="shared" si="29"/>
        <v>11</v>
      </c>
      <c r="I41" s="50">
        <f t="shared" si="29"/>
        <v>11</v>
      </c>
      <c r="J41" s="50">
        <f t="shared" si="29"/>
        <v>7</v>
      </c>
      <c r="K41" s="50">
        <f t="shared" si="29"/>
        <v>10</v>
      </c>
      <c r="L41" s="50">
        <f t="shared" si="29"/>
        <v>10</v>
      </c>
      <c r="M41" s="50">
        <f t="shared" si="29"/>
        <v>10</v>
      </c>
      <c r="N41" s="60"/>
      <c r="O41" s="64"/>
      <c r="P41" s="49" t="s">
        <v>623</v>
      </c>
      <c r="Q41" s="50">
        <f>SUM(Q36:Q38)</f>
        <v>16</v>
      </c>
      <c r="R41" s="50">
        <f t="shared" ref="R41:AA41" si="30">SUM(R36:R38)</f>
        <v>15</v>
      </c>
      <c r="S41" s="50">
        <f t="shared" si="30"/>
        <v>14</v>
      </c>
      <c r="T41" s="50">
        <f>SUM(T36:T38)</f>
        <v>13</v>
      </c>
      <c r="U41" s="50">
        <f t="shared" si="30"/>
        <v>13</v>
      </c>
      <c r="V41" s="50">
        <f t="shared" si="30"/>
        <v>13</v>
      </c>
      <c r="W41" s="50">
        <f t="shared" si="30"/>
        <v>13</v>
      </c>
      <c r="X41" s="50">
        <f t="shared" si="30"/>
        <v>16</v>
      </c>
      <c r="Y41" s="50">
        <f t="shared" si="30"/>
        <v>16</v>
      </c>
      <c r="Z41" s="50">
        <f t="shared" si="30"/>
        <v>19</v>
      </c>
      <c r="AA41" s="50">
        <f t="shared" si="30"/>
        <v>22</v>
      </c>
      <c r="AB41" s="50">
        <f>SUM(AB36:AB38)</f>
        <v>19</v>
      </c>
      <c r="AC41" s="60">
        <f>SUM(AC39:AC40)</f>
        <v>13</v>
      </c>
      <c r="AD41" s="64"/>
    </row>
    <row r="42" spans="1:30" ht="15.75" customHeight="1">
      <c r="A42" s="49" t="s">
        <v>624</v>
      </c>
      <c r="B42" s="44">
        <v>500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60"/>
      <c r="O42" s="64"/>
      <c r="P42" s="49" t="s">
        <v>625</v>
      </c>
      <c r="Q42" s="44">
        <v>499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60"/>
      <c r="AD42" s="64"/>
    </row>
    <row r="43" spans="1:30" ht="15.75" customHeight="1">
      <c r="A43" s="33" t="s">
        <v>366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60"/>
      <c r="O43" s="64"/>
      <c r="P43" s="33" t="s">
        <v>366</v>
      </c>
      <c r="Q43" s="50"/>
      <c r="R43" s="51"/>
      <c r="S43" s="84"/>
      <c r="T43" s="51"/>
      <c r="U43" s="51"/>
      <c r="V43" s="51"/>
      <c r="W43" s="51"/>
      <c r="X43" s="51"/>
      <c r="Y43" s="51"/>
      <c r="Z43" s="51"/>
      <c r="AA43" s="51"/>
      <c r="AB43" s="51"/>
      <c r="AC43" s="60"/>
      <c r="AD43" s="64"/>
    </row>
    <row r="44" spans="1:30" ht="15.75" customHeight="1">
      <c r="A44" s="49" t="s">
        <v>626</v>
      </c>
      <c r="B44" s="44">
        <v>145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60"/>
      <c r="O44" s="64"/>
      <c r="P44" s="49" t="s">
        <v>626</v>
      </c>
      <c r="Q44" s="44">
        <v>100</v>
      </c>
      <c r="R44" s="51"/>
      <c r="S44" s="84"/>
      <c r="T44" s="51"/>
      <c r="U44" s="51"/>
      <c r="V44" s="51"/>
      <c r="W44" s="51"/>
      <c r="X44" s="51"/>
      <c r="Y44" s="51"/>
      <c r="Z44" s="51"/>
      <c r="AA44" s="51"/>
      <c r="AB44" s="51"/>
      <c r="AC44" s="60"/>
      <c r="AD44" s="64"/>
    </row>
    <row r="45" spans="1:30" ht="15.75" customHeight="1">
      <c r="A45" s="49" t="s">
        <v>627</v>
      </c>
      <c r="B45" s="50">
        <v>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60"/>
      <c r="O45" s="64"/>
      <c r="P45" s="49" t="s">
        <v>627</v>
      </c>
      <c r="Q45" s="50">
        <v>2</v>
      </c>
      <c r="R45" s="51"/>
      <c r="S45" s="84"/>
      <c r="T45" s="51"/>
      <c r="U45" s="51"/>
      <c r="V45" s="51"/>
      <c r="W45" s="51"/>
      <c r="X45" s="51"/>
      <c r="Y45" s="51"/>
      <c r="Z45" s="51"/>
      <c r="AA45" s="51"/>
      <c r="AB45" s="51"/>
      <c r="AC45" s="60"/>
      <c r="AD45" s="64"/>
    </row>
    <row r="46" spans="1:30" ht="15.75" customHeight="1">
      <c r="A46" s="49" t="s">
        <v>628</v>
      </c>
      <c r="B46" s="44">
        <v>50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60"/>
      <c r="O46" s="64"/>
      <c r="P46" s="49" t="s">
        <v>628</v>
      </c>
      <c r="Q46" s="44">
        <v>50</v>
      </c>
      <c r="R46" s="51"/>
      <c r="S46" s="84"/>
      <c r="T46" s="51"/>
      <c r="U46" s="51"/>
      <c r="V46" s="51"/>
      <c r="W46" s="51"/>
      <c r="X46" s="51"/>
      <c r="Y46" s="51"/>
      <c r="Z46" s="51"/>
      <c r="AA46" s="51"/>
      <c r="AB46" s="51"/>
      <c r="AC46" s="60"/>
      <c r="AD46" s="64"/>
    </row>
    <row r="47" spans="1:30" ht="15.75" customHeight="1">
      <c r="A47" s="33" t="s">
        <v>594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60"/>
      <c r="O47" s="64"/>
      <c r="P47" s="33" t="s">
        <v>594</v>
      </c>
      <c r="Q47" s="50"/>
      <c r="R47" s="51"/>
      <c r="S47" s="84"/>
      <c r="T47" s="51"/>
      <c r="U47" s="51"/>
      <c r="V47" s="51"/>
      <c r="W47" s="51"/>
      <c r="X47" s="51"/>
      <c r="Y47" s="51"/>
      <c r="Z47" s="51"/>
      <c r="AA47" s="51"/>
      <c r="AB47" s="51"/>
      <c r="AC47" s="60"/>
      <c r="AD47" s="64"/>
    </row>
    <row r="48" spans="1:30" ht="15.75" customHeight="1">
      <c r="A48" s="49" t="s">
        <v>629</v>
      </c>
      <c r="B48" s="44">
        <v>175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60"/>
      <c r="O48" s="64"/>
      <c r="P48" s="49" t="s">
        <v>629</v>
      </c>
      <c r="Q48" s="44">
        <v>200</v>
      </c>
      <c r="R48" s="51"/>
      <c r="S48" s="84"/>
      <c r="T48" s="51"/>
      <c r="U48" s="51"/>
      <c r="V48" s="51"/>
      <c r="W48" s="51"/>
      <c r="X48" s="51"/>
      <c r="Y48" s="51"/>
      <c r="Z48" s="51"/>
      <c r="AA48" s="51"/>
      <c r="AB48" s="51"/>
      <c r="AC48" s="60"/>
      <c r="AD48" s="64"/>
    </row>
    <row r="49" spans="1:30" ht="15.75" customHeight="1">
      <c r="A49" s="49" t="s">
        <v>630</v>
      </c>
      <c r="B49" s="44">
        <v>20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60"/>
      <c r="O49" s="64"/>
      <c r="P49" s="49" t="s">
        <v>630</v>
      </c>
      <c r="Q49" s="44">
        <v>20</v>
      </c>
      <c r="R49" s="51"/>
      <c r="S49" s="84"/>
      <c r="T49" s="51"/>
      <c r="U49" s="51"/>
      <c r="V49" s="51"/>
      <c r="W49" s="51"/>
      <c r="X49" s="51"/>
      <c r="Y49" s="51"/>
      <c r="Z49" s="51"/>
      <c r="AA49" s="51"/>
      <c r="AB49" s="51"/>
      <c r="AC49" s="60"/>
      <c r="AD49" s="64"/>
    </row>
    <row r="50" spans="1:30" ht="15.75" customHeight="1">
      <c r="A50" s="49"/>
      <c r="B50" s="44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60"/>
      <c r="O50" s="64"/>
      <c r="P50" s="49" t="s">
        <v>631</v>
      </c>
      <c r="Q50" s="44"/>
      <c r="R50" s="51">
        <v>3</v>
      </c>
      <c r="S50" s="84"/>
      <c r="T50" s="51">
        <v>3</v>
      </c>
      <c r="U50" s="51">
        <v>2</v>
      </c>
      <c r="V50" s="51"/>
      <c r="W50" s="51"/>
      <c r="X50" s="51">
        <v>2</v>
      </c>
      <c r="Y50" s="51">
        <v>2</v>
      </c>
      <c r="Z50" s="51">
        <v>2</v>
      </c>
      <c r="AA50" s="51"/>
      <c r="AB50" s="51"/>
      <c r="AC50" s="60"/>
      <c r="AD50" s="64"/>
    </row>
    <row r="51" spans="1:30" ht="15.75" customHeight="1">
      <c r="A51" s="49" t="s">
        <v>632</v>
      </c>
      <c r="B51" s="50">
        <v>1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60"/>
      <c r="O51" s="64"/>
      <c r="P51" s="49" t="s">
        <v>632</v>
      </c>
      <c r="Q51" s="50"/>
      <c r="R51" s="51">
        <v>0</v>
      </c>
      <c r="S51" s="84"/>
      <c r="T51" s="51"/>
      <c r="U51" s="51"/>
      <c r="V51" s="51"/>
      <c r="W51" s="51"/>
      <c r="X51" s="51"/>
      <c r="Y51" s="51"/>
      <c r="Z51" s="51"/>
      <c r="AA51" s="51"/>
      <c r="AB51" s="51"/>
      <c r="AC51" s="60"/>
      <c r="AD51" s="64"/>
    </row>
    <row r="52" spans="1:30" ht="15.75" customHeight="1">
      <c r="A52" s="49" t="s">
        <v>633</v>
      </c>
      <c r="B52" s="44">
        <v>500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60"/>
      <c r="O52" s="64"/>
      <c r="P52" s="49" t="s">
        <v>633</v>
      </c>
      <c r="Q52" s="44">
        <v>250</v>
      </c>
      <c r="R52" s="51"/>
      <c r="S52" s="84"/>
      <c r="T52" s="51"/>
      <c r="U52" s="51"/>
      <c r="V52" s="51"/>
      <c r="W52" s="51"/>
      <c r="X52" s="51"/>
      <c r="Y52" s="51"/>
      <c r="Z52" s="51"/>
      <c r="AA52" s="51"/>
      <c r="AB52" s="51"/>
      <c r="AC52" s="60"/>
      <c r="AD52" s="64"/>
    </row>
    <row r="53" spans="1:30" ht="15.75" customHeight="1">
      <c r="A53" s="49" t="s">
        <v>634</v>
      </c>
      <c r="B53" s="50">
        <v>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60"/>
      <c r="O53" s="64"/>
      <c r="P53" s="49" t="s">
        <v>634</v>
      </c>
      <c r="Q53" s="50">
        <v>3</v>
      </c>
      <c r="R53" s="51"/>
      <c r="S53" s="84"/>
      <c r="T53" s="51"/>
      <c r="U53" s="51"/>
      <c r="V53" s="51"/>
      <c r="W53" s="51"/>
      <c r="X53" s="51"/>
      <c r="Y53" s="51"/>
      <c r="Z53" s="51"/>
      <c r="AA53" s="51"/>
      <c r="AB53" s="51"/>
      <c r="AC53" s="60"/>
      <c r="AD53" s="64"/>
    </row>
    <row r="54" spans="1:30" ht="15.75" customHeight="1">
      <c r="A54" s="49" t="s">
        <v>635</v>
      </c>
      <c r="B54" s="44">
        <v>50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60"/>
      <c r="O54" s="64"/>
      <c r="P54" s="49" t="s">
        <v>635</v>
      </c>
      <c r="Q54" s="44">
        <v>25</v>
      </c>
      <c r="R54" s="51"/>
      <c r="S54" s="84"/>
      <c r="T54" s="51"/>
      <c r="U54" s="51"/>
      <c r="V54" s="51"/>
      <c r="W54" s="51"/>
      <c r="X54" s="51"/>
      <c r="Y54" s="51"/>
      <c r="Z54" s="51"/>
      <c r="AA54" s="51"/>
      <c r="AB54" s="51"/>
      <c r="AC54" s="60"/>
      <c r="AD54" s="64"/>
    </row>
    <row r="55" spans="1:30" ht="15.75" customHeight="1">
      <c r="A55" s="49" t="s">
        <v>636</v>
      </c>
      <c r="B55" s="44">
        <v>50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60"/>
      <c r="O55" s="64"/>
      <c r="P55" s="49" t="s">
        <v>636</v>
      </c>
      <c r="Q55" s="44">
        <v>50</v>
      </c>
      <c r="R55" s="51"/>
      <c r="S55" s="85"/>
      <c r="T55" s="51"/>
      <c r="U55" s="51"/>
      <c r="V55" s="51"/>
      <c r="W55" s="51"/>
      <c r="X55" s="51"/>
      <c r="Y55" s="51"/>
      <c r="Z55" s="51"/>
      <c r="AA55" s="51"/>
      <c r="AB55" s="51"/>
      <c r="AC55" s="60"/>
      <c r="AD55" s="64"/>
    </row>
    <row r="56" spans="1:30" ht="15.75" customHeight="1">
      <c r="A56" s="49" t="s">
        <v>637</v>
      </c>
      <c r="B56" s="44">
        <v>50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60"/>
      <c r="O56" s="64"/>
      <c r="P56" s="49" t="s">
        <v>637</v>
      </c>
      <c r="Q56" s="44">
        <v>75</v>
      </c>
      <c r="R56" s="51"/>
      <c r="T56" s="51"/>
      <c r="U56" s="51"/>
      <c r="V56" s="51"/>
      <c r="W56" s="51"/>
      <c r="X56" s="51"/>
      <c r="Y56" s="51"/>
      <c r="Z56" s="51"/>
      <c r="AA56" s="51"/>
      <c r="AB56" s="51"/>
      <c r="AC56" s="60"/>
      <c r="AD56" s="64"/>
    </row>
    <row r="57" spans="1:30" ht="15.75" customHeight="1">
      <c r="A57" s="33" t="s">
        <v>638</v>
      </c>
      <c r="B57" s="50">
        <f t="shared" ref="B57:M57" si="31">B41</f>
        <v>11</v>
      </c>
      <c r="C57" s="50">
        <f t="shared" si="31"/>
        <v>11</v>
      </c>
      <c r="D57" s="50">
        <f t="shared" si="31"/>
        <v>9</v>
      </c>
      <c r="E57" s="50">
        <f t="shared" si="31"/>
        <v>9</v>
      </c>
      <c r="F57" s="50">
        <f t="shared" si="31"/>
        <v>9</v>
      </c>
      <c r="G57" s="50">
        <f t="shared" si="31"/>
        <v>9</v>
      </c>
      <c r="H57" s="50">
        <f t="shared" si="31"/>
        <v>11</v>
      </c>
      <c r="I57" s="50">
        <f t="shared" si="31"/>
        <v>11</v>
      </c>
      <c r="J57" s="50">
        <f t="shared" si="31"/>
        <v>7</v>
      </c>
      <c r="K57" s="50">
        <f t="shared" si="31"/>
        <v>10</v>
      </c>
      <c r="L57" s="50">
        <f t="shared" si="31"/>
        <v>10</v>
      </c>
      <c r="M57" s="50">
        <f t="shared" si="31"/>
        <v>10</v>
      </c>
      <c r="N57" s="34">
        <f>N39</f>
        <v>0</v>
      </c>
      <c r="O57" s="67"/>
      <c r="P57" s="33" t="s">
        <v>603</v>
      </c>
      <c r="Q57" s="50">
        <f t="shared" ref="Q57:AB57" si="32">Q41</f>
        <v>16</v>
      </c>
      <c r="R57" s="50">
        <f t="shared" si="32"/>
        <v>15</v>
      </c>
      <c r="S57" s="50">
        <f t="shared" si="32"/>
        <v>14</v>
      </c>
      <c r="T57" s="50">
        <f t="shared" si="32"/>
        <v>13</v>
      </c>
      <c r="U57" s="50">
        <f t="shared" si="32"/>
        <v>13</v>
      </c>
      <c r="V57" s="50">
        <f t="shared" si="32"/>
        <v>13</v>
      </c>
      <c r="W57" s="50">
        <f t="shared" si="32"/>
        <v>13</v>
      </c>
      <c r="X57" s="50">
        <f t="shared" si="32"/>
        <v>16</v>
      </c>
      <c r="Y57" s="50">
        <f t="shared" si="32"/>
        <v>16</v>
      </c>
      <c r="Z57" s="50">
        <f t="shared" si="32"/>
        <v>19</v>
      </c>
      <c r="AA57" s="50">
        <f t="shared" si="32"/>
        <v>22</v>
      </c>
      <c r="AB57" s="50">
        <f t="shared" si="32"/>
        <v>19</v>
      </c>
      <c r="AC57" s="34">
        <f>AC39</f>
        <v>10</v>
      </c>
      <c r="AD57" s="67"/>
    </row>
    <row r="58" spans="1:30" ht="15.75" customHeight="1">
      <c r="A58" s="49" t="s">
        <v>639</v>
      </c>
      <c r="B58" s="44">
        <v>150</v>
      </c>
      <c r="C58" s="51"/>
      <c r="D58" s="51"/>
      <c r="E58" s="51"/>
      <c r="F58" s="50"/>
      <c r="G58" s="51"/>
      <c r="H58" s="51"/>
      <c r="I58" s="51"/>
      <c r="J58" s="51"/>
      <c r="K58" s="51"/>
      <c r="L58" s="51"/>
      <c r="M58" s="51"/>
      <c r="N58" s="60"/>
      <c r="O58" s="64"/>
      <c r="P58" s="49" t="s">
        <v>639</v>
      </c>
      <c r="Q58" s="44">
        <v>250</v>
      </c>
      <c r="R58" s="51"/>
      <c r="S58" s="51"/>
      <c r="T58" s="51"/>
      <c r="U58" s="50"/>
      <c r="V58" s="51"/>
      <c r="W58" s="51"/>
      <c r="X58" s="51"/>
      <c r="Y58" s="51"/>
      <c r="Z58" s="51"/>
      <c r="AA58" s="51"/>
      <c r="AB58" s="51"/>
      <c r="AC58" s="60"/>
      <c r="AD58" s="64"/>
    </row>
    <row r="59" spans="1:30" ht="15.75" customHeight="1">
      <c r="A59" s="33" t="s">
        <v>605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60"/>
      <c r="O59" s="64"/>
      <c r="P59" s="33" t="s">
        <v>605</v>
      </c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60"/>
      <c r="AD59" s="64"/>
    </row>
    <row r="60" spans="1:30" ht="15.75" customHeight="1">
      <c r="A60" s="49" t="s">
        <v>640</v>
      </c>
      <c r="B60" s="50">
        <v>2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60"/>
      <c r="O60" s="64"/>
      <c r="P60" s="49" t="s">
        <v>640</v>
      </c>
      <c r="Q60" s="50"/>
      <c r="R60" s="51">
        <v>5</v>
      </c>
      <c r="S60" s="51"/>
      <c r="T60" s="51"/>
      <c r="U60" s="51">
        <v>1</v>
      </c>
      <c r="V60" s="51"/>
      <c r="W60" s="51"/>
      <c r="X60" s="51">
        <v>4</v>
      </c>
      <c r="Y60" s="51"/>
      <c r="Z60" s="51">
        <v>1</v>
      </c>
      <c r="AA60" s="51">
        <v>2</v>
      </c>
      <c r="AB60" s="51"/>
      <c r="AC60" s="60"/>
      <c r="AD60" s="64"/>
    </row>
    <row r="61" spans="1:30" ht="15.75" customHeight="1">
      <c r="A61" s="49" t="s">
        <v>641</v>
      </c>
      <c r="B61" s="44">
        <v>500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60"/>
      <c r="O61" s="64"/>
      <c r="P61" s="49" t="s">
        <v>641</v>
      </c>
      <c r="Q61" s="44">
        <v>250</v>
      </c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60"/>
      <c r="AD61" s="64"/>
    </row>
    <row r="62" spans="1:30" ht="15.75" customHeight="1">
      <c r="A62" s="49" t="s">
        <v>637</v>
      </c>
      <c r="B62" s="55">
        <f>B49</f>
        <v>20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60"/>
      <c r="O62" s="64"/>
      <c r="P62" s="49" t="s">
        <v>637</v>
      </c>
      <c r="Q62" s="55">
        <f>Q49</f>
        <v>20</v>
      </c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60"/>
      <c r="AD62" s="64"/>
    </row>
    <row r="63" spans="1:30" ht="15.75" customHeight="1">
      <c r="A63" s="49" t="s">
        <v>635</v>
      </c>
      <c r="B63" s="55">
        <v>20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60"/>
      <c r="O63" s="64"/>
      <c r="P63" s="49" t="s">
        <v>635</v>
      </c>
      <c r="Q63" s="55">
        <v>10</v>
      </c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60"/>
      <c r="AD63" s="64"/>
    </row>
    <row r="64" spans="1:30" ht="15.75" customHeight="1">
      <c r="A64" s="6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60"/>
      <c r="O64" s="64"/>
    </row>
    <row r="65" spans="1:15" ht="15.75" customHeight="1">
      <c r="A65" s="6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60"/>
      <c r="O65" s="64"/>
    </row>
    <row r="66" spans="1:15" ht="15.75" customHeight="1">
      <c r="A66" s="6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60"/>
      <c r="O66" s="64"/>
    </row>
    <row r="67" spans="1:15" ht="15.75" customHeight="1">
      <c r="A67" s="6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60"/>
      <c r="O67" s="64"/>
    </row>
    <row r="68" spans="1:15" ht="15.75" customHeight="1">
      <c r="A68" s="6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60"/>
      <c r="O68" s="64"/>
    </row>
    <row r="69" spans="1:15" ht="15.75" customHeight="1">
      <c r="A69" s="6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60"/>
      <c r="O69" s="64"/>
    </row>
    <row r="70" spans="1:15" ht="15.75" customHeight="1">
      <c r="A70" s="6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60"/>
      <c r="O70" s="64"/>
    </row>
    <row r="71" spans="1:15" ht="15.75" customHeight="1">
      <c r="A71" s="6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60"/>
      <c r="O71" s="64"/>
    </row>
    <row r="72" spans="1:15" ht="15.75" customHeight="1">
      <c r="A72" s="68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60"/>
      <c r="O72" s="64"/>
    </row>
    <row r="73" spans="1:15" ht="15.75" customHeight="1">
      <c r="A73" s="68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60"/>
      <c r="O73" s="64"/>
    </row>
    <row r="74" spans="1:15" ht="15.75" customHeight="1">
      <c r="A74" s="68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60"/>
      <c r="O74" s="64"/>
    </row>
    <row r="75" spans="1:15" ht="15.75" customHeight="1">
      <c r="A75" s="68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0"/>
      <c r="O75" s="64"/>
    </row>
    <row r="76" spans="1:15" ht="15.75" customHeight="1">
      <c r="A76" s="68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60"/>
      <c r="O76" s="64"/>
    </row>
    <row r="77" spans="1:15" ht="15.75" customHeight="1">
      <c r="A77" s="68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60"/>
      <c r="O77" s="64"/>
    </row>
    <row r="78" spans="1:15" ht="15.75" customHeight="1">
      <c r="A78" s="68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60"/>
      <c r="O78" s="64"/>
    </row>
    <row r="79" spans="1:15" ht="15.75" customHeight="1">
      <c r="A79" s="68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60"/>
      <c r="O79" s="64"/>
    </row>
    <row r="80" spans="1:15" ht="15.75" customHeight="1">
      <c r="A80" s="68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0"/>
      <c r="O80" s="64"/>
    </row>
    <row r="81" spans="1:15" ht="15.75" customHeight="1">
      <c r="A81" s="6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60"/>
      <c r="O81" s="64"/>
    </row>
    <row r="82" spans="1:15" ht="15.75" customHeight="1">
      <c r="A82" s="6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60"/>
      <c r="O82" s="64"/>
    </row>
    <row r="83" spans="1:15" ht="15.75" customHeight="1">
      <c r="A83" s="6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60"/>
      <c r="O83" s="64"/>
    </row>
    <row r="84" spans="1:15" ht="15.75" customHeight="1">
      <c r="A84" s="68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60"/>
      <c r="O84" s="64"/>
    </row>
    <row r="85" spans="1:15" ht="15.75" customHeight="1">
      <c r="A85" s="68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60"/>
      <c r="O85" s="64"/>
    </row>
    <row r="86" spans="1:15" ht="15.75" customHeight="1">
      <c r="A86" s="68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60"/>
      <c r="O86" s="64"/>
    </row>
    <row r="87" spans="1:15" ht="15.75" customHeight="1">
      <c r="A87" s="68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60"/>
      <c r="O87" s="64"/>
    </row>
    <row r="88" spans="1:15" ht="15.75" customHeight="1">
      <c r="A88" s="68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60"/>
      <c r="O88" s="64"/>
    </row>
    <row r="89" spans="1:15" ht="15.75" customHeight="1">
      <c r="A89" s="68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60"/>
      <c r="O89" s="64"/>
    </row>
    <row r="90" spans="1:15" ht="15.75" customHeight="1">
      <c r="A90" s="68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60"/>
      <c r="O90" s="64"/>
    </row>
    <row r="91" spans="1:15" ht="15.75" customHeight="1">
      <c r="A91" s="68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60"/>
      <c r="O91" s="64"/>
    </row>
    <row r="92" spans="1:15" ht="15.75" customHeight="1">
      <c r="A92" s="68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60"/>
      <c r="O92" s="64"/>
    </row>
    <row r="93" spans="1:15" ht="15.75" customHeight="1">
      <c r="A93" s="68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60"/>
      <c r="O93" s="64"/>
    </row>
    <row r="94" spans="1:15" ht="15.75" customHeight="1">
      <c r="A94" s="68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60"/>
      <c r="O94" s="64"/>
    </row>
    <row r="95" spans="1:15" ht="15.75" customHeight="1">
      <c r="A95" s="68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60"/>
      <c r="O95" s="64"/>
    </row>
    <row r="96" spans="1:15" ht="15.75" customHeight="1">
      <c r="A96" s="68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60"/>
      <c r="O96" s="64"/>
    </row>
    <row r="97" spans="1:15" ht="15.75" customHeight="1">
      <c r="A97" s="68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60"/>
      <c r="O97" s="64"/>
    </row>
    <row r="98" spans="1:15" ht="15.75" customHeight="1">
      <c r="A98" s="68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60"/>
      <c r="O98" s="64"/>
    </row>
    <row r="99" spans="1:15" ht="15.75" customHeight="1">
      <c r="A99" s="68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60"/>
      <c r="O99" s="64"/>
    </row>
    <row r="100" spans="1:15" ht="15.75" customHeight="1">
      <c r="A100" s="68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60"/>
      <c r="O100" s="64"/>
    </row>
    <row r="101" spans="1:15" ht="15.75" customHeight="1">
      <c r="A101" s="6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60"/>
      <c r="O101" s="64"/>
    </row>
    <row r="102" spans="1:15" ht="15.75" customHeight="1">
      <c r="A102" s="68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60"/>
      <c r="O102" s="64"/>
    </row>
    <row r="103" spans="1:15" ht="15.75" customHeight="1">
      <c r="A103" s="68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60"/>
      <c r="O103" s="64"/>
    </row>
    <row r="104" spans="1:15" ht="15.75" customHeight="1">
      <c r="A104" s="68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60"/>
      <c r="O104" s="64"/>
    </row>
    <row r="105" spans="1:15" ht="15.75" customHeight="1">
      <c r="A105" s="68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60"/>
      <c r="O105" s="64"/>
    </row>
    <row r="106" spans="1:15" ht="15.75" customHeight="1">
      <c r="A106" s="68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60"/>
      <c r="O106" s="64"/>
    </row>
    <row r="107" spans="1:15" ht="15.75" customHeight="1">
      <c r="A107" s="68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60"/>
      <c r="O107" s="64"/>
    </row>
    <row r="108" spans="1:15" ht="15.75" customHeight="1">
      <c r="A108" s="68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60"/>
      <c r="O108" s="64"/>
    </row>
    <row r="109" spans="1:15" ht="15.75" customHeight="1">
      <c r="A109" s="68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60"/>
      <c r="O109" s="64"/>
    </row>
    <row r="110" spans="1:15" ht="15.75" customHeight="1">
      <c r="A110" s="68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60"/>
      <c r="O110" s="64"/>
    </row>
    <row r="111" spans="1:15" ht="15.75" customHeight="1">
      <c r="A111" s="68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60"/>
      <c r="O111" s="64"/>
    </row>
    <row r="112" spans="1:15" ht="15.75" customHeight="1">
      <c r="A112" s="68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60"/>
      <c r="O112" s="64"/>
    </row>
    <row r="113" spans="1:15" ht="15.75" customHeight="1">
      <c r="A113" s="68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60"/>
      <c r="O113" s="64"/>
    </row>
    <row r="114" spans="1:15" ht="15.75" customHeight="1">
      <c r="A114" s="68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60"/>
      <c r="O114" s="64"/>
    </row>
    <row r="115" spans="1:15" ht="15.75" customHeight="1">
      <c r="A115" s="68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60"/>
      <c r="O115" s="64"/>
    </row>
    <row r="116" spans="1:15" ht="15.75" customHeight="1">
      <c r="A116" s="68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60"/>
      <c r="O116" s="64"/>
    </row>
    <row r="117" spans="1:15" ht="15.75" customHeight="1">
      <c r="A117" s="68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60"/>
      <c r="O117" s="64"/>
    </row>
    <row r="118" spans="1:15" ht="15.75" customHeight="1">
      <c r="A118" s="68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60"/>
      <c r="O118" s="64"/>
    </row>
    <row r="119" spans="1:15" ht="15.75" customHeight="1">
      <c r="A119" s="68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60"/>
      <c r="O119" s="64"/>
    </row>
    <row r="120" spans="1:15" ht="15.75" customHeight="1">
      <c r="A120" s="68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60"/>
      <c r="O120" s="64"/>
    </row>
    <row r="121" spans="1:15" ht="15.75" customHeight="1">
      <c r="A121" s="68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60"/>
      <c r="O121" s="64"/>
    </row>
    <row r="122" spans="1:15" ht="15.75" customHeight="1">
      <c r="A122" s="68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60"/>
      <c r="O122" s="64"/>
    </row>
    <row r="123" spans="1:15" ht="15.75" customHeight="1">
      <c r="A123" s="68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60"/>
      <c r="O123" s="64"/>
    </row>
    <row r="124" spans="1:15" ht="15.75" customHeight="1">
      <c r="A124" s="6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60"/>
      <c r="O124" s="64"/>
    </row>
    <row r="125" spans="1:15" ht="15.75" customHeight="1">
      <c r="A125" s="68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60"/>
      <c r="O125" s="64"/>
    </row>
    <row r="126" spans="1:15" ht="15.75" customHeight="1">
      <c r="A126" s="6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60"/>
      <c r="O126" s="64"/>
    </row>
    <row r="127" spans="1:15" ht="15.75" customHeight="1">
      <c r="A127" s="6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60"/>
      <c r="O127" s="64"/>
    </row>
    <row r="128" spans="1:15" ht="15.75" customHeight="1">
      <c r="A128" s="68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60"/>
      <c r="O128" s="64"/>
    </row>
    <row r="129" spans="1:15" ht="15.75" customHeight="1">
      <c r="A129" s="68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60"/>
      <c r="O129" s="64"/>
    </row>
    <row r="130" spans="1:15" ht="15.75" customHeight="1">
      <c r="A130" s="68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60"/>
      <c r="O130" s="64"/>
    </row>
    <row r="131" spans="1:15" ht="15.75" customHeight="1">
      <c r="A131" s="68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60"/>
      <c r="O131" s="64"/>
    </row>
    <row r="132" spans="1:15" ht="15.75" customHeight="1">
      <c r="A132" s="68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60"/>
      <c r="O132" s="64"/>
    </row>
    <row r="133" spans="1:15" ht="15.75" customHeight="1">
      <c r="A133" s="68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60"/>
      <c r="O133" s="64"/>
    </row>
    <row r="134" spans="1:15" ht="15.75" customHeight="1">
      <c r="A134" s="68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60"/>
      <c r="O134" s="64"/>
    </row>
    <row r="135" spans="1:15" ht="15.75" customHeight="1">
      <c r="A135" s="68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60"/>
      <c r="O135" s="64"/>
    </row>
    <row r="136" spans="1:15" ht="15.75" customHeight="1">
      <c r="A136" s="68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60"/>
      <c r="O136" s="64"/>
    </row>
    <row r="137" spans="1:15" ht="15.75" customHeight="1">
      <c r="A137" s="68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60"/>
      <c r="O137" s="64"/>
    </row>
    <row r="138" spans="1:15" ht="15.75" customHeight="1">
      <c r="A138" s="68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60"/>
      <c r="O138" s="64"/>
    </row>
    <row r="139" spans="1:15" ht="15.75" customHeight="1">
      <c r="A139" s="6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60"/>
      <c r="O139" s="64"/>
    </row>
    <row r="140" spans="1:15" ht="15.75" customHeight="1">
      <c r="A140" s="68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60"/>
      <c r="O140" s="64"/>
    </row>
    <row r="141" spans="1:15" ht="15.75" customHeight="1">
      <c r="A141" s="68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60"/>
      <c r="O141" s="64"/>
    </row>
    <row r="142" spans="1:15" ht="15.75" customHeight="1">
      <c r="A142" s="68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60"/>
      <c r="O142" s="64"/>
    </row>
    <row r="143" spans="1:15" ht="15.75" customHeight="1">
      <c r="A143" s="68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60"/>
      <c r="O143" s="64"/>
    </row>
    <row r="144" spans="1:15" ht="15.75" customHeight="1">
      <c r="A144" s="68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60"/>
      <c r="O144" s="64"/>
    </row>
    <row r="145" spans="1:15" ht="15.75" customHeight="1">
      <c r="A145" s="68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60"/>
      <c r="O145" s="64"/>
    </row>
    <row r="146" spans="1:15" ht="15.75" customHeight="1">
      <c r="A146" s="68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60"/>
      <c r="O146" s="64"/>
    </row>
    <row r="147" spans="1:15" ht="15.75" customHeight="1">
      <c r="A147" s="68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60"/>
      <c r="O147" s="64"/>
    </row>
    <row r="148" spans="1:15" ht="15.75" customHeight="1">
      <c r="A148" s="68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60"/>
      <c r="O148" s="64"/>
    </row>
    <row r="149" spans="1:15" ht="15.75" customHeight="1">
      <c r="A149" s="68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60"/>
      <c r="O149" s="64"/>
    </row>
    <row r="150" spans="1:15" ht="15.75" customHeight="1">
      <c r="A150" s="68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60"/>
      <c r="O150" s="64"/>
    </row>
    <row r="151" spans="1:15" ht="15.75" customHeight="1">
      <c r="A151" s="68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60"/>
      <c r="O151" s="64"/>
    </row>
    <row r="152" spans="1:15" ht="15.75" customHeight="1">
      <c r="A152" s="68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60"/>
      <c r="O152" s="64"/>
    </row>
    <row r="153" spans="1:15" ht="15.75" customHeight="1">
      <c r="A153" s="68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60"/>
      <c r="O153" s="64"/>
    </row>
    <row r="154" spans="1:15" ht="15.75" customHeight="1">
      <c r="A154" s="68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60"/>
      <c r="O154" s="64"/>
    </row>
    <row r="155" spans="1:15" ht="15.75" customHeight="1">
      <c r="A155" s="68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60"/>
      <c r="O155" s="64"/>
    </row>
    <row r="156" spans="1:15" ht="15.75" customHeight="1">
      <c r="A156" s="68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60"/>
      <c r="O156" s="64"/>
    </row>
    <row r="157" spans="1:15" ht="15.75" customHeight="1">
      <c r="A157" s="68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60"/>
      <c r="O157" s="64"/>
    </row>
    <row r="158" spans="1:15" ht="15.75" customHeight="1">
      <c r="A158" s="68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60"/>
      <c r="O158" s="64"/>
    </row>
    <row r="159" spans="1:15" ht="15.75" customHeight="1">
      <c r="A159" s="68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60"/>
      <c r="O159" s="64"/>
    </row>
    <row r="160" spans="1:15" ht="15.75" customHeight="1">
      <c r="A160" s="68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60"/>
      <c r="O160" s="64"/>
    </row>
    <row r="161" spans="1:15" ht="15.75" customHeight="1">
      <c r="A161" s="68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60"/>
      <c r="O161" s="64"/>
    </row>
    <row r="162" spans="1:15" ht="15.75" customHeight="1">
      <c r="A162" s="68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60"/>
      <c r="O162" s="64"/>
    </row>
    <row r="163" spans="1:15" ht="15.75" customHeight="1">
      <c r="A163" s="68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60"/>
      <c r="O163" s="64"/>
    </row>
    <row r="164" spans="1:15" ht="15.75" customHeight="1">
      <c r="A164" s="68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60"/>
      <c r="O164" s="64"/>
    </row>
    <row r="165" spans="1:15" ht="15.75" customHeight="1">
      <c r="A165" s="68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60"/>
      <c r="O165" s="64"/>
    </row>
    <row r="166" spans="1:15" ht="15.75" customHeight="1">
      <c r="A166" s="68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60"/>
      <c r="O166" s="64"/>
    </row>
    <row r="167" spans="1:15" ht="15.75" customHeight="1">
      <c r="A167" s="68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60"/>
      <c r="O167" s="64"/>
    </row>
    <row r="168" spans="1:15" ht="15.75" customHeight="1">
      <c r="A168" s="68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60"/>
      <c r="O168" s="64"/>
    </row>
    <row r="169" spans="1:15" ht="15.75" customHeight="1">
      <c r="A169" s="68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60"/>
      <c r="O169" s="64"/>
    </row>
    <row r="170" spans="1:15" ht="15.75" customHeight="1">
      <c r="A170" s="68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60"/>
      <c r="O170" s="64"/>
    </row>
    <row r="171" spans="1:15" ht="15.75" customHeight="1">
      <c r="A171" s="68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60"/>
      <c r="O171" s="64"/>
    </row>
    <row r="172" spans="1:15" ht="15.75" customHeight="1">
      <c r="A172" s="68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60"/>
      <c r="O172" s="64"/>
    </row>
    <row r="173" spans="1:15" ht="15.75" customHeight="1">
      <c r="A173" s="68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60"/>
      <c r="O173" s="64"/>
    </row>
    <row r="174" spans="1:15" ht="15.75" customHeight="1">
      <c r="A174" s="68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60"/>
      <c r="O174" s="64"/>
    </row>
    <row r="175" spans="1:15" ht="15.75" customHeight="1">
      <c r="A175" s="68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60"/>
      <c r="O175" s="64"/>
    </row>
    <row r="176" spans="1:15" ht="15.75" customHeight="1">
      <c r="A176" s="68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60"/>
      <c r="O176" s="64"/>
    </row>
    <row r="177" spans="1:15" ht="15.75" customHeight="1">
      <c r="A177" s="68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60"/>
      <c r="O177" s="64"/>
    </row>
    <row r="178" spans="1:15" ht="15.75" customHeight="1">
      <c r="A178" s="68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60"/>
      <c r="O178" s="64"/>
    </row>
    <row r="179" spans="1:15" ht="15.75" customHeight="1">
      <c r="A179" s="68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60"/>
      <c r="O179" s="64"/>
    </row>
    <row r="180" spans="1:15" ht="15.75" customHeight="1">
      <c r="A180" s="68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60"/>
      <c r="O180" s="64"/>
    </row>
    <row r="181" spans="1:15" ht="15.75" customHeight="1">
      <c r="A181" s="68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60"/>
      <c r="O181" s="64"/>
    </row>
    <row r="182" spans="1:15" ht="15.75" customHeight="1">
      <c r="A182" s="68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60"/>
      <c r="O182" s="64"/>
    </row>
    <row r="183" spans="1:15" ht="15.75" customHeight="1">
      <c r="A183" s="68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60"/>
      <c r="O183" s="64"/>
    </row>
    <row r="184" spans="1:15" ht="15.75" customHeight="1">
      <c r="A184" s="68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60"/>
      <c r="O184" s="64"/>
    </row>
    <row r="185" spans="1:15" ht="15.75" customHeight="1">
      <c r="A185" s="68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60"/>
      <c r="O185" s="64"/>
    </row>
    <row r="186" spans="1:15" ht="15.75" customHeight="1">
      <c r="A186" s="68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60"/>
      <c r="O186" s="64"/>
    </row>
    <row r="187" spans="1:15" ht="15.75" customHeight="1">
      <c r="A187" s="68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60"/>
      <c r="O187" s="64"/>
    </row>
    <row r="188" spans="1:15" ht="15.75" customHeight="1">
      <c r="A188" s="68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60"/>
      <c r="O188" s="64"/>
    </row>
    <row r="189" spans="1:15" ht="15.75" customHeight="1">
      <c r="A189" s="68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60"/>
      <c r="O189" s="64"/>
    </row>
    <row r="190" spans="1:15" ht="15.75" customHeight="1">
      <c r="A190" s="68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60"/>
      <c r="O190" s="64"/>
    </row>
    <row r="191" spans="1:15" ht="15.75" customHeight="1">
      <c r="A191" s="68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60"/>
      <c r="O191" s="64"/>
    </row>
    <row r="192" spans="1:15" ht="15.75" customHeight="1">
      <c r="A192" s="68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60"/>
      <c r="O192" s="64"/>
    </row>
    <row r="193" spans="1:15" ht="15.75" customHeight="1">
      <c r="A193" s="68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60"/>
      <c r="O193" s="64"/>
    </row>
    <row r="194" spans="1:15" ht="15.75" customHeight="1">
      <c r="A194" s="68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60"/>
      <c r="O194" s="64"/>
    </row>
    <row r="195" spans="1:15" ht="15.75" customHeight="1">
      <c r="A195" s="68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60"/>
      <c r="O195" s="64"/>
    </row>
    <row r="196" spans="1:15" ht="15.75" customHeight="1">
      <c r="A196" s="68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60"/>
      <c r="O196" s="64"/>
    </row>
    <row r="197" spans="1:15" ht="15.75" customHeight="1">
      <c r="A197" s="68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60"/>
      <c r="O197" s="64"/>
    </row>
    <row r="198" spans="1:15" ht="15.75" customHeight="1">
      <c r="A198" s="68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60"/>
      <c r="O198" s="64"/>
    </row>
    <row r="199" spans="1:15" ht="15.75" customHeight="1">
      <c r="A199" s="68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60"/>
      <c r="O199" s="64"/>
    </row>
    <row r="200" spans="1:15" ht="15.75" customHeight="1">
      <c r="A200" s="68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60"/>
      <c r="O200" s="64"/>
    </row>
    <row r="201" spans="1:15" ht="15.75" customHeight="1">
      <c r="A201" s="68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60"/>
      <c r="O201" s="64"/>
    </row>
    <row r="202" spans="1:15" ht="15.75" customHeight="1">
      <c r="A202" s="68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60"/>
      <c r="O202" s="64"/>
    </row>
    <row r="203" spans="1:15" ht="15.75" customHeight="1">
      <c r="A203" s="68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60"/>
      <c r="O203" s="64"/>
    </row>
    <row r="204" spans="1:15" ht="15.75" customHeight="1">
      <c r="A204" s="68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60"/>
      <c r="O204" s="64"/>
    </row>
    <row r="205" spans="1:15" ht="15.75" customHeight="1">
      <c r="A205" s="68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60"/>
      <c r="O205" s="64"/>
    </row>
    <row r="206" spans="1:15" ht="15.75" customHeight="1">
      <c r="A206" s="68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60"/>
      <c r="O206" s="64"/>
    </row>
    <row r="207" spans="1:15" ht="15.75" customHeight="1">
      <c r="A207" s="68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60"/>
      <c r="O207" s="64"/>
    </row>
    <row r="208" spans="1:15" ht="15.75" customHeight="1">
      <c r="A208" s="68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60"/>
      <c r="O208" s="64"/>
    </row>
    <row r="209" spans="1:15" ht="15.75" customHeight="1">
      <c r="A209" s="68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60"/>
      <c r="O209" s="64"/>
    </row>
    <row r="210" spans="1:15" ht="15.75" customHeight="1">
      <c r="A210" s="68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60"/>
      <c r="O210" s="64"/>
    </row>
    <row r="211" spans="1:15" ht="15.75" customHeight="1">
      <c r="A211" s="68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60"/>
      <c r="O211" s="64"/>
    </row>
    <row r="212" spans="1:15" ht="15.75" customHeight="1">
      <c r="A212" s="68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60"/>
      <c r="O212" s="64"/>
    </row>
    <row r="213" spans="1:15" ht="15.75" customHeight="1">
      <c r="A213" s="68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60"/>
      <c r="O213" s="64"/>
    </row>
    <row r="214" spans="1:15" ht="15.75" customHeight="1">
      <c r="A214" s="68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60"/>
      <c r="O214" s="64"/>
    </row>
    <row r="215" spans="1:15" ht="15.75" customHeight="1">
      <c r="A215" s="68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60"/>
      <c r="O215" s="64"/>
    </row>
    <row r="216" spans="1:15" ht="15.75" customHeight="1">
      <c r="A216" s="68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60"/>
      <c r="O216" s="64"/>
    </row>
    <row r="217" spans="1:15" ht="15.75" customHeight="1">
      <c r="A217" s="68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60"/>
      <c r="O217" s="64"/>
    </row>
    <row r="218" spans="1:15" ht="15.75" customHeight="1">
      <c r="A218" s="68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60"/>
      <c r="O218" s="64"/>
    </row>
    <row r="219" spans="1:15" ht="15.75" customHeight="1">
      <c r="A219" s="68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60"/>
      <c r="O219" s="64"/>
    </row>
    <row r="220" spans="1:15" ht="15.75" customHeight="1">
      <c r="A220" s="68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60"/>
      <c r="O220" s="64"/>
    </row>
    <row r="221" spans="1:15" ht="15.75" customHeight="1">
      <c r="A221" s="68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60"/>
      <c r="O221" s="64"/>
    </row>
    <row r="222" spans="1:15" ht="15.75" customHeight="1">
      <c r="A222" s="68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60"/>
      <c r="O222" s="64"/>
    </row>
    <row r="223" spans="1:15" ht="15.75" customHeight="1">
      <c r="A223" s="68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60"/>
      <c r="O223" s="64"/>
    </row>
    <row r="224" spans="1:15" ht="15.75" customHeight="1">
      <c r="A224" s="68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60"/>
      <c r="O224" s="64"/>
    </row>
    <row r="225" spans="1:15" ht="15.75" customHeight="1">
      <c r="A225" s="68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60"/>
      <c r="O225" s="64"/>
    </row>
    <row r="226" spans="1:15" ht="15.75" customHeight="1">
      <c r="A226" s="68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60"/>
      <c r="O226" s="64"/>
    </row>
    <row r="227" spans="1:15" ht="15.75" customHeight="1">
      <c r="A227" s="68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60"/>
      <c r="O227" s="64"/>
    </row>
    <row r="228" spans="1:15" ht="15.75" customHeight="1">
      <c r="A228" s="68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60"/>
      <c r="O228" s="64"/>
    </row>
    <row r="229" spans="1:15" ht="15.75" customHeight="1">
      <c r="A229" s="68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60"/>
      <c r="O229" s="64"/>
    </row>
    <row r="230" spans="1:15" ht="15.75" customHeight="1">
      <c r="A230" s="68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60"/>
      <c r="O230" s="64"/>
    </row>
    <row r="231" spans="1:15" ht="15.75" customHeight="1">
      <c r="A231" s="68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60"/>
      <c r="O231" s="64"/>
    </row>
    <row r="232" spans="1:15" ht="15.75" customHeight="1">
      <c r="A232" s="68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60"/>
      <c r="O232" s="64"/>
    </row>
    <row r="233" spans="1:15" ht="15.75" customHeight="1">
      <c r="A233" s="68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60"/>
      <c r="O233" s="64"/>
    </row>
    <row r="234" spans="1:15" ht="15.75" customHeight="1">
      <c r="A234" s="68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60"/>
      <c r="O234" s="64"/>
    </row>
    <row r="235" spans="1:15" ht="15.75" customHeight="1">
      <c r="A235" s="68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60"/>
      <c r="O235" s="64"/>
    </row>
    <row r="236" spans="1:15" ht="15.75" customHeight="1">
      <c r="A236" s="68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60"/>
      <c r="O236" s="64"/>
    </row>
    <row r="237" spans="1:15" ht="15.75" customHeight="1">
      <c r="A237" s="68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60"/>
      <c r="O237" s="64"/>
    </row>
    <row r="238" spans="1:15" ht="15.75" customHeight="1">
      <c r="A238" s="68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60"/>
      <c r="O238" s="64"/>
    </row>
    <row r="239" spans="1:15" ht="15.75" customHeight="1">
      <c r="A239" s="68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60"/>
      <c r="O239" s="64"/>
    </row>
    <row r="240" spans="1:15" ht="15.75" customHeight="1">
      <c r="A240" s="68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60"/>
      <c r="O240" s="64"/>
    </row>
    <row r="241" spans="1:15" ht="15.75" customHeight="1">
      <c r="A241" s="68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60"/>
      <c r="O241" s="64"/>
    </row>
    <row r="242" spans="1:15" ht="15.75" customHeight="1">
      <c r="A242" s="68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60"/>
      <c r="O242" s="64"/>
    </row>
    <row r="243" spans="1:15" ht="15.75" customHeight="1">
      <c r="A243" s="68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60"/>
      <c r="O243" s="64"/>
    </row>
    <row r="244" spans="1:15" ht="15.75" customHeight="1">
      <c r="A244" s="68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60"/>
      <c r="O244" s="64"/>
    </row>
    <row r="245" spans="1:15" ht="15.75" customHeight="1">
      <c r="A245" s="68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60"/>
      <c r="O245" s="64"/>
    </row>
    <row r="246" spans="1:15" ht="15.75" customHeight="1">
      <c r="A246" s="68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60"/>
      <c r="O246" s="64"/>
    </row>
    <row r="247" spans="1:15" ht="15.75" customHeight="1">
      <c r="A247" s="68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60"/>
      <c r="O247" s="64"/>
    </row>
    <row r="248" spans="1:15" ht="15.75" customHeight="1">
      <c r="A248" s="68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60"/>
      <c r="O248" s="64"/>
    </row>
    <row r="249" spans="1:15" ht="15.75" customHeight="1">
      <c r="A249" s="68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60"/>
      <c r="O249" s="64"/>
    </row>
    <row r="250" spans="1:15" ht="15.75" customHeight="1">
      <c r="A250" s="68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60"/>
      <c r="O250" s="64"/>
    </row>
    <row r="251" spans="1:15" ht="15.75" customHeight="1">
      <c r="A251" s="68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60"/>
      <c r="O251" s="64"/>
    </row>
    <row r="252" spans="1:15" ht="15.75" customHeight="1">
      <c r="A252" s="68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60"/>
      <c r="O252" s="64"/>
    </row>
    <row r="253" spans="1:15" ht="15.75" customHeight="1">
      <c r="A253" s="68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60"/>
      <c r="O253" s="64"/>
    </row>
    <row r="254" spans="1:15" ht="15.75" customHeight="1">
      <c r="A254" s="68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60"/>
      <c r="O254" s="64"/>
    </row>
    <row r="255" spans="1:15" ht="15.75" customHeight="1">
      <c r="A255" s="68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60"/>
      <c r="O255" s="64"/>
    </row>
    <row r="256" spans="1:15" ht="15.75" customHeight="1">
      <c r="A256" s="68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60"/>
      <c r="O256" s="64"/>
    </row>
    <row r="257" spans="1:15" ht="15.75" customHeight="1">
      <c r="A257" s="68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60"/>
      <c r="O257" s="64"/>
    </row>
    <row r="258" spans="1:15" ht="15.75" customHeight="1">
      <c r="A258" s="68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60"/>
      <c r="O258" s="64"/>
    </row>
    <row r="259" spans="1:15" ht="15.75" customHeight="1">
      <c r="A259" s="68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60"/>
      <c r="O259" s="64"/>
    </row>
    <row r="260" spans="1:15" ht="15.75" customHeight="1">
      <c r="A260" s="68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60"/>
      <c r="O260" s="64"/>
    </row>
    <row r="261" spans="1:15" ht="15.75" customHeight="1">
      <c r="A261" s="68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60"/>
      <c r="O261" s="64"/>
    </row>
    <row r="262" spans="1:15" ht="15.75" customHeight="1">
      <c r="A262" s="68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60"/>
      <c r="O262" s="64"/>
    </row>
    <row r="263" spans="1:15" ht="15.75" customHeight="1">
      <c r="A263" s="68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60"/>
      <c r="O263" s="64"/>
    </row>
    <row r="264" spans="1:15" ht="15.75" customHeight="1">
      <c r="A264" s="68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60"/>
      <c r="O264" s="64"/>
    </row>
    <row r="265" spans="1:15" ht="15.75" customHeight="1">
      <c r="A265" s="68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60"/>
      <c r="O265" s="64"/>
    </row>
    <row r="266" spans="1:15" ht="15.75" customHeight="1">
      <c r="A266" s="68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60"/>
      <c r="O266" s="64"/>
    </row>
    <row r="267" spans="1:15" ht="15.75" customHeight="1">
      <c r="A267" s="68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60"/>
      <c r="O267" s="64"/>
    </row>
    <row r="268" spans="1:15" ht="15.75" customHeight="1">
      <c r="A268" s="68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60"/>
      <c r="O268" s="64"/>
    </row>
    <row r="269" spans="1:15" ht="15.75" customHeight="1">
      <c r="A269" s="68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60"/>
      <c r="O269" s="64"/>
    </row>
    <row r="270" spans="1:15" ht="15.75" customHeight="1">
      <c r="A270" s="68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60"/>
      <c r="O270" s="64"/>
    </row>
    <row r="271" spans="1:15" ht="15.75" customHeight="1">
      <c r="A271" s="68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60"/>
      <c r="O271" s="64"/>
    </row>
    <row r="272" spans="1:15" ht="15.75" customHeight="1">
      <c r="A272" s="68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60"/>
      <c r="O272" s="64"/>
    </row>
    <row r="273" spans="1:15" ht="15.75" customHeight="1">
      <c r="A273" s="68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60"/>
      <c r="O273" s="64"/>
    </row>
    <row r="274" spans="1:15" ht="15.75" customHeight="1">
      <c r="A274" s="68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60"/>
      <c r="O274" s="64"/>
    </row>
    <row r="275" spans="1:15" ht="15.75" customHeight="1">
      <c r="A275" s="68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60"/>
      <c r="O275" s="64"/>
    </row>
    <row r="276" spans="1:15" ht="15.75" customHeight="1">
      <c r="A276" s="68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60"/>
      <c r="O276" s="64"/>
    </row>
    <row r="277" spans="1:15" ht="15.75" customHeight="1">
      <c r="A277" s="68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60"/>
      <c r="O277" s="64"/>
    </row>
    <row r="278" spans="1:15" ht="15.75" customHeight="1">
      <c r="A278" s="68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60"/>
      <c r="O278" s="64"/>
    </row>
    <row r="279" spans="1:15" ht="15.75" customHeight="1">
      <c r="A279" s="68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60"/>
      <c r="O279" s="64"/>
    </row>
    <row r="280" spans="1:15" ht="15.75" customHeight="1">
      <c r="A280" s="68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60"/>
      <c r="O280" s="64"/>
    </row>
    <row r="281" spans="1:15" ht="15.75" customHeight="1">
      <c r="A281" s="68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60"/>
      <c r="O281" s="64"/>
    </row>
    <row r="282" spans="1:15" ht="15.75" customHeight="1">
      <c r="A282" s="68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60"/>
      <c r="O282" s="64"/>
    </row>
    <row r="283" spans="1:15" ht="15.75" customHeight="1">
      <c r="A283" s="68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60"/>
      <c r="O283" s="64"/>
    </row>
    <row r="284" spans="1:15" ht="15.75" customHeight="1">
      <c r="A284" s="68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60"/>
      <c r="O284" s="64"/>
    </row>
    <row r="285" spans="1:15" ht="15.75" customHeight="1">
      <c r="A285" s="68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60"/>
      <c r="O285" s="64"/>
    </row>
    <row r="286" spans="1:15" ht="15.75" customHeight="1">
      <c r="A286" s="68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60"/>
      <c r="O286" s="64"/>
    </row>
    <row r="287" spans="1:15" ht="15.75" customHeight="1">
      <c r="A287" s="68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60"/>
      <c r="O287" s="64"/>
    </row>
    <row r="288" spans="1:15" ht="15.75" customHeight="1">
      <c r="A288" s="68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60"/>
      <c r="O288" s="64"/>
    </row>
    <row r="289" spans="1:15" ht="15.75" customHeight="1">
      <c r="A289" s="68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60"/>
      <c r="O289" s="64"/>
    </row>
    <row r="290" spans="1:15" ht="15.75" customHeight="1">
      <c r="A290" s="68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60"/>
      <c r="O290" s="64"/>
    </row>
    <row r="291" spans="1:15" ht="15.75" customHeight="1">
      <c r="A291" s="68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60"/>
      <c r="O291" s="64"/>
    </row>
    <row r="292" spans="1:15" ht="15.75" customHeight="1">
      <c r="A292" s="68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60"/>
      <c r="O292" s="64"/>
    </row>
    <row r="293" spans="1:15" ht="15.75" customHeight="1">
      <c r="A293" s="68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60"/>
      <c r="O293" s="64"/>
    </row>
    <row r="294" spans="1:15" ht="15.75" customHeight="1">
      <c r="A294" s="68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60"/>
      <c r="O294" s="64"/>
    </row>
    <row r="295" spans="1:15" ht="15.75" customHeight="1">
      <c r="A295" s="68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60"/>
      <c r="O295" s="64"/>
    </row>
    <row r="296" spans="1:15" ht="15.75" customHeight="1">
      <c r="A296" s="68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60"/>
      <c r="O296" s="64"/>
    </row>
    <row r="297" spans="1:15" ht="15.75" customHeight="1">
      <c r="A297" s="68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60"/>
      <c r="O297" s="64"/>
    </row>
    <row r="298" spans="1:15" ht="15.75" customHeight="1">
      <c r="A298" s="68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60"/>
      <c r="O298" s="64"/>
    </row>
    <row r="299" spans="1:15" ht="15.75" customHeight="1">
      <c r="A299" s="68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60"/>
      <c r="O299" s="64"/>
    </row>
    <row r="300" spans="1:15" ht="15.75" customHeight="1">
      <c r="A300" s="68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60"/>
      <c r="O300" s="64"/>
    </row>
    <row r="301" spans="1:15" ht="15.75" customHeight="1">
      <c r="A301" s="68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60"/>
      <c r="O301" s="64"/>
    </row>
    <row r="302" spans="1:15" ht="15.75" customHeight="1">
      <c r="A302" s="68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60"/>
      <c r="O302" s="64"/>
    </row>
    <row r="303" spans="1:15" ht="15.75" customHeight="1">
      <c r="A303" s="68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60"/>
      <c r="O303" s="64"/>
    </row>
    <row r="304" spans="1:15" ht="15.75" customHeight="1">
      <c r="A304" s="68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60"/>
      <c r="O304" s="64"/>
    </row>
    <row r="305" spans="1:15" ht="15.75" customHeight="1">
      <c r="A305" s="68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60"/>
      <c r="O305" s="64"/>
    </row>
    <row r="306" spans="1:15" ht="15.75" customHeight="1">
      <c r="A306" s="68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60"/>
      <c r="O306" s="64"/>
    </row>
    <row r="307" spans="1:15" ht="15.75" customHeight="1">
      <c r="A307" s="68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60"/>
      <c r="O307" s="64"/>
    </row>
    <row r="308" spans="1:15" ht="15.75" customHeight="1">
      <c r="A308" s="68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60"/>
      <c r="O308" s="64"/>
    </row>
    <row r="309" spans="1:15" ht="15.75" customHeight="1">
      <c r="A309" s="68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60"/>
      <c r="O309" s="64"/>
    </row>
    <row r="310" spans="1:15" ht="15.75" customHeight="1">
      <c r="A310" s="68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60"/>
      <c r="O310" s="64"/>
    </row>
    <row r="311" spans="1:15" ht="15.75" customHeight="1">
      <c r="A311" s="68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60"/>
      <c r="O311" s="64"/>
    </row>
    <row r="312" spans="1:15" ht="15.75" customHeight="1">
      <c r="A312" s="68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60"/>
      <c r="O312" s="64"/>
    </row>
    <row r="313" spans="1:15" ht="15.75" customHeight="1">
      <c r="A313" s="68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60"/>
      <c r="O313" s="64"/>
    </row>
    <row r="314" spans="1:15" ht="15.75" customHeight="1">
      <c r="A314" s="68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60"/>
      <c r="O314" s="64"/>
    </row>
    <row r="315" spans="1:15" ht="15.75" customHeight="1">
      <c r="A315" s="68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60"/>
      <c r="O315" s="64"/>
    </row>
    <row r="316" spans="1:15" ht="15.75" customHeight="1">
      <c r="A316" s="68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60"/>
      <c r="O316" s="64"/>
    </row>
    <row r="317" spans="1:15" ht="15.75" customHeight="1">
      <c r="A317" s="68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60"/>
      <c r="O317" s="64"/>
    </row>
    <row r="318" spans="1:15" ht="15.75" customHeight="1">
      <c r="A318" s="68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60"/>
      <c r="O318" s="64"/>
    </row>
    <row r="319" spans="1:15" ht="15.75" customHeight="1">
      <c r="A319" s="68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60"/>
      <c r="O319" s="64"/>
    </row>
    <row r="320" spans="1:15" ht="15.75" customHeight="1">
      <c r="A320" s="68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60"/>
      <c r="O320" s="64"/>
    </row>
    <row r="321" spans="1:15" ht="15.75" customHeight="1">
      <c r="A321" s="68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60"/>
      <c r="O321" s="64"/>
    </row>
    <row r="322" spans="1:15" ht="15.75" customHeight="1">
      <c r="A322" s="68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60"/>
      <c r="O322" s="64"/>
    </row>
    <row r="323" spans="1:15" ht="15.75" customHeight="1">
      <c r="A323" s="68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60"/>
      <c r="O323" s="64"/>
    </row>
    <row r="324" spans="1:15" ht="15.75" customHeight="1">
      <c r="A324" s="68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60"/>
      <c r="O324" s="64"/>
    </row>
    <row r="325" spans="1:15" ht="15.75" customHeight="1">
      <c r="A325" s="68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60"/>
      <c r="O325" s="64"/>
    </row>
    <row r="326" spans="1:15" ht="15.75" customHeight="1">
      <c r="A326" s="68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60"/>
      <c r="O326" s="64"/>
    </row>
    <row r="327" spans="1:15" ht="15.75" customHeight="1">
      <c r="A327" s="68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60"/>
      <c r="O327" s="64"/>
    </row>
    <row r="328" spans="1:15" ht="15.75" customHeight="1">
      <c r="A328" s="68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60"/>
      <c r="O328" s="64"/>
    </row>
    <row r="329" spans="1:15" ht="15.75" customHeight="1">
      <c r="A329" s="68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60"/>
      <c r="O329" s="64"/>
    </row>
    <row r="330" spans="1:15" ht="15.75" customHeight="1">
      <c r="A330" s="68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60"/>
      <c r="O330" s="64"/>
    </row>
    <row r="331" spans="1:15" ht="15.75" customHeight="1">
      <c r="A331" s="68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60"/>
      <c r="O331" s="64"/>
    </row>
    <row r="332" spans="1:15" ht="15.75" customHeight="1">
      <c r="A332" s="68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60"/>
      <c r="O332" s="64"/>
    </row>
    <row r="333" spans="1:15" ht="15.75" customHeight="1">
      <c r="A333" s="68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60"/>
      <c r="O333" s="64"/>
    </row>
    <row r="334" spans="1:15" ht="15.75" customHeight="1">
      <c r="A334" s="68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60"/>
      <c r="O334" s="64"/>
    </row>
    <row r="335" spans="1:15" ht="15.75" customHeight="1">
      <c r="A335" s="68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60"/>
      <c r="O335" s="64"/>
    </row>
    <row r="336" spans="1:15" ht="15.75" customHeight="1">
      <c r="A336" s="68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60"/>
      <c r="O336" s="64"/>
    </row>
    <row r="337" spans="1:15" ht="15.75" customHeight="1">
      <c r="A337" s="68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60"/>
      <c r="O337" s="64"/>
    </row>
    <row r="338" spans="1:15" ht="15.75" customHeight="1">
      <c r="A338" s="68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60"/>
      <c r="O338" s="64"/>
    </row>
    <row r="339" spans="1:15" ht="15.75" customHeight="1">
      <c r="A339" s="68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60"/>
      <c r="O339" s="64"/>
    </row>
    <row r="340" spans="1:15" ht="15.75" customHeight="1">
      <c r="A340" s="68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60"/>
      <c r="O340" s="64"/>
    </row>
    <row r="341" spans="1:15" ht="15.75" customHeight="1">
      <c r="A341" s="68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60"/>
      <c r="O341" s="64"/>
    </row>
    <row r="342" spans="1:15" ht="15.75" customHeight="1">
      <c r="A342" s="68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60"/>
      <c r="O342" s="64"/>
    </row>
    <row r="343" spans="1:15" ht="15.75" customHeight="1">
      <c r="A343" s="68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60"/>
      <c r="O343" s="64"/>
    </row>
    <row r="344" spans="1:15" ht="15.75" customHeight="1">
      <c r="A344" s="68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60"/>
      <c r="O344" s="64"/>
    </row>
    <row r="345" spans="1:15" ht="15.75" customHeight="1">
      <c r="A345" s="68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60"/>
      <c r="O345" s="64"/>
    </row>
    <row r="346" spans="1:15" ht="15.75" customHeight="1">
      <c r="A346" s="68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60"/>
      <c r="O346" s="64"/>
    </row>
    <row r="347" spans="1:15" ht="15.75" customHeight="1">
      <c r="A347" s="68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60"/>
      <c r="O347" s="64"/>
    </row>
    <row r="348" spans="1:15" ht="15.75" customHeight="1">
      <c r="A348" s="68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60"/>
      <c r="O348" s="64"/>
    </row>
    <row r="349" spans="1:15" ht="15.75" customHeight="1">
      <c r="A349" s="68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60"/>
      <c r="O349" s="64"/>
    </row>
    <row r="350" spans="1:15" ht="15.75" customHeight="1">
      <c r="A350" s="68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60"/>
      <c r="O350" s="64"/>
    </row>
    <row r="351" spans="1:15" ht="15.75" customHeight="1">
      <c r="A351" s="68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60"/>
      <c r="O351" s="64"/>
    </row>
    <row r="352" spans="1:15" ht="15.75" customHeight="1">
      <c r="A352" s="68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60"/>
      <c r="O352" s="64"/>
    </row>
    <row r="353" spans="1:15" ht="15.75" customHeight="1">
      <c r="A353" s="68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60"/>
      <c r="O353" s="64"/>
    </row>
    <row r="354" spans="1:15" ht="15.75" customHeight="1">
      <c r="A354" s="68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60"/>
      <c r="O354" s="64"/>
    </row>
    <row r="355" spans="1:15" ht="15.75" customHeight="1">
      <c r="A355" s="68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60"/>
      <c r="O355" s="64"/>
    </row>
    <row r="356" spans="1:15" ht="15.75" customHeight="1">
      <c r="A356" s="68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60"/>
      <c r="O356" s="64"/>
    </row>
    <row r="357" spans="1:15" ht="15.75" customHeight="1">
      <c r="A357" s="68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60"/>
      <c r="O357" s="64"/>
    </row>
    <row r="358" spans="1:15" ht="15.75" customHeight="1">
      <c r="A358" s="68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60"/>
      <c r="O358" s="64"/>
    </row>
    <row r="359" spans="1:15" ht="15.75" customHeight="1">
      <c r="A359" s="68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60"/>
      <c r="O359" s="64"/>
    </row>
    <row r="360" spans="1:15" ht="15.75" customHeight="1">
      <c r="A360" s="68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60"/>
      <c r="O360" s="64"/>
    </row>
    <row r="361" spans="1:15" ht="15.75" customHeight="1">
      <c r="A361" s="68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60"/>
      <c r="O361" s="64"/>
    </row>
    <row r="362" spans="1:15" ht="15.75" customHeight="1">
      <c r="A362" s="68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60"/>
      <c r="O362" s="64"/>
    </row>
    <row r="363" spans="1:15" ht="15.75" customHeight="1">
      <c r="A363" s="68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60"/>
      <c r="O363" s="64"/>
    </row>
    <row r="364" spans="1:15" ht="15.75" customHeight="1">
      <c r="A364" s="68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60"/>
      <c r="O364" s="64"/>
    </row>
    <row r="365" spans="1:15" ht="15.75" customHeight="1">
      <c r="A365" s="68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60"/>
      <c r="O365" s="64"/>
    </row>
    <row r="366" spans="1:15" ht="15.75" customHeight="1">
      <c r="A366" s="68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60"/>
      <c r="O366" s="64"/>
    </row>
    <row r="367" spans="1:15" ht="15.75" customHeight="1">
      <c r="A367" s="68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60"/>
      <c r="O367" s="64"/>
    </row>
    <row r="368" spans="1:15" ht="15.75" customHeight="1">
      <c r="A368" s="68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60"/>
      <c r="O368" s="64"/>
    </row>
    <row r="369" spans="1:15" ht="15.75" customHeight="1">
      <c r="A369" s="68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60"/>
      <c r="O369" s="64"/>
    </row>
    <row r="370" spans="1:15" ht="15.75" customHeight="1">
      <c r="A370" s="68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60"/>
      <c r="O370" s="64"/>
    </row>
    <row r="371" spans="1:15" ht="15.75" customHeight="1">
      <c r="A371" s="68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60"/>
      <c r="O371" s="64"/>
    </row>
    <row r="372" spans="1:15" ht="15.75" customHeight="1">
      <c r="A372" s="68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60"/>
      <c r="O372" s="64"/>
    </row>
    <row r="373" spans="1:15" ht="15.75" customHeight="1">
      <c r="A373" s="68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60"/>
      <c r="O373" s="64"/>
    </row>
    <row r="374" spans="1:15" ht="15.75" customHeight="1">
      <c r="A374" s="68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60"/>
      <c r="O374" s="64"/>
    </row>
    <row r="375" spans="1:15" ht="15.75" customHeight="1">
      <c r="A375" s="68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60"/>
      <c r="O375" s="64"/>
    </row>
    <row r="376" spans="1:15" ht="15.75" customHeight="1">
      <c r="A376" s="68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60"/>
      <c r="O376" s="64"/>
    </row>
    <row r="377" spans="1:15" ht="15.75" customHeight="1">
      <c r="A377" s="68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60"/>
      <c r="O377" s="64"/>
    </row>
    <row r="378" spans="1:15" ht="15.75" customHeight="1">
      <c r="A378" s="68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60"/>
      <c r="O378" s="64"/>
    </row>
    <row r="379" spans="1:15" ht="15.75" customHeight="1">
      <c r="A379" s="68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60"/>
      <c r="O379" s="64"/>
    </row>
    <row r="380" spans="1:15" ht="15.75" customHeight="1">
      <c r="A380" s="68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60"/>
      <c r="O380" s="64"/>
    </row>
    <row r="381" spans="1:15" ht="15.75" customHeight="1">
      <c r="A381" s="68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60"/>
      <c r="O381" s="64"/>
    </row>
    <row r="382" spans="1:15" ht="15.75" customHeight="1">
      <c r="A382" s="68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60"/>
      <c r="O382" s="64"/>
    </row>
    <row r="383" spans="1:15" ht="15.75" customHeight="1">
      <c r="A383" s="68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60"/>
      <c r="O383" s="64"/>
    </row>
    <row r="384" spans="1:15" ht="15.75" customHeight="1">
      <c r="A384" s="68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60"/>
      <c r="O384" s="64"/>
    </row>
    <row r="385" spans="1:15" ht="15.75" customHeight="1">
      <c r="A385" s="68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60"/>
      <c r="O385" s="64"/>
    </row>
    <row r="386" spans="1:15" ht="15.75" customHeight="1">
      <c r="A386" s="68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60"/>
      <c r="O386" s="64"/>
    </row>
    <row r="387" spans="1:15" ht="15.75" customHeight="1">
      <c r="A387" s="68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60"/>
      <c r="O387" s="64"/>
    </row>
    <row r="388" spans="1:15" ht="15.75" customHeight="1">
      <c r="A388" s="68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60"/>
      <c r="O388" s="64"/>
    </row>
    <row r="389" spans="1:15" ht="15.75" customHeight="1">
      <c r="A389" s="68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60"/>
      <c r="O389" s="64"/>
    </row>
    <row r="390" spans="1:15" ht="15.75" customHeight="1">
      <c r="A390" s="68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60"/>
      <c r="O390" s="64"/>
    </row>
    <row r="391" spans="1:15" ht="15.75" customHeight="1">
      <c r="A391" s="68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60"/>
      <c r="O391" s="64"/>
    </row>
    <row r="392" spans="1:15" ht="15.75" customHeight="1">
      <c r="A392" s="68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60"/>
      <c r="O392" s="64"/>
    </row>
    <row r="393" spans="1:15" ht="15.75" customHeight="1">
      <c r="A393" s="68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60"/>
      <c r="O393" s="64"/>
    </row>
    <row r="394" spans="1:15" ht="15.75" customHeight="1">
      <c r="A394" s="68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60"/>
      <c r="O394" s="64"/>
    </row>
    <row r="395" spans="1:15" ht="15.75" customHeight="1">
      <c r="A395" s="68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60"/>
      <c r="O395" s="64"/>
    </row>
    <row r="396" spans="1:15" ht="15.75" customHeight="1">
      <c r="A396" s="68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60"/>
      <c r="O396" s="64"/>
    </row>
    <row r="397" spans="1:15" ht="15.75" customHeight="1">
      <c r="A397" s="68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60"/>
      <c r="O397" s="64"/>
    </row>
    <row r="398" spans="1:15" ht="15.75" customHeight="1">
      <c r="A398" s="68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60"/>
      <c r="O398" s="64"/>
    </row>
    <row r="399" spans="1:15" ht="15.75" customHeight="1">
      <c r="A399" s="68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60"/>
      <c r="O399" s="64"/>
    </row>
    <row r="400" spans="1:15" ht="15.75" customHeight="1">
      <c r="A400" s="68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60"/>
      <c r="O400" s="64"/>
    </row>
    <row r="401" spans="1:15" ht="15.75" customHeight="1">
      <c r="A401" s="68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60"/>
      <c r="O401" s="64"/>
    </row>
    <row r="402" spans="1:15" ht="15.75" customHeight="1">
      <c r="A402" s="68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60"/>
      <c r="O402" s="64"/>
    </row>
    <row r="403" spans="1:15" ht="15.75" customHeight="1">
      <c r="A403" s="68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60"/>
      <c r="O403" s="64"/>
    </row>
    <row r="404" spans="1:15" ht="15.75" customHeight="1">
      <c r="A404" s="68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60"/>
      <c r="O404" s="64"/>
    </row>
    <row r="405" spans="1:15" ht="15.75" customHeight="1">
      <c r="A405" s="68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60"/>
      <c r="O405" s="64"/>
    </row>
    <row r="406" spans="1:15" ht="15.75" customHeight="1">
      <c r="A406" s="68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60"/>
      <c r="O406" s="64"/>
    </row>
    <row r="407" spans="1:15" ht="15.75" customHeight="1">
      <c r="A407" s="68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60"/>
      <c r="O407" s="64"/>
    </row>
    <row r="408" spans="1:15" ht="15.75" customHeight="1">
      <c r="A408" s="68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60"/>
      <c r="O408" s="64"/>
    </row>
    <row r="409" spans="1:15" ht="15.75" customHeight="1">
      <c r="A409" s="68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60"/>
      <c r="O409" s="64"/>
    </row>
    <row r="410" spans="1:15" ht="15.75" customHeight="1">
      <c r="A410" s="68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60"/>
      <c r="O410" s="64"/>
    </row>
    <row r="411" spans="1:15" ht="15.75" customHeight="1">
      <c r="A411" s="68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60"/>
      <c r="O411" s="64"/>
    </row>
    <row r="412" spans="1:15" ht="15.75" customHeight="1">
      <c r="A412" s="68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60"/>
      <c r="O412" s="64"/>
    </row>
    <row r="413" spans="1:15" ht="15.75" customHeight="1">
      <c r="A413" s="68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60"/>
      <c r="O413" s="64"/>
    </row>
    <row r="414" spans="1:15" ht="15.75" customHeight="1">
      <c r="A414" s="68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60"/>
      <c r="O414" s="64"/>
    </row>
    <row r="415" spans="1:15" ht="15.75" customHeight="1">
      <c r="A415" s="68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60"/>
      <c r="O415" s="64"/>
    </row>
    <row r="416" spans="1:15" ht="15.75" customHeight="1">
      <c r="A416" s="68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60"/>
      <c r="O416" s="64"/>
    </row>
    <row r="417" spans="1:15" ht="15.75" customHeight="1">
      <c r="A417" s="68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60"/>
      <c r="O417" s="64"/>
    </row>
    <row r="418" spans="1:15" ht="15.75" customHeight="1">
      <c r="A418" s="68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60"/>
      <c r="O418" s="64"/>
    </row>
    <row r="419" spans="1:15" ht="15.75" customHeight="1">
      <c r="A419" s="68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60"/>
      <c r="O419" s="64"/>
    </row>
    <row r="420" spans="1:15" ht="15.75" customHeight="1">
      <c r="A420" s="68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60"/>
      <c r="O420" s="64"/>
    </row>
    <row r="421" spans="1:15" ht="15.75" customHeight="1">
      <c r="A421" s="68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60"/>
      <c r="O421" s="64"/>
    </row>
    <row r="422" spans="1:15" ht="15.75" customHeight="1">
      <c r="A422" s="68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60"/>
      <c r="O422" s="64"/>
    </row>
    <row r="423" spans="1:15" ht="15.75" customHeight="1">
      <c r="A423" s="68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60"/>
      <c r="O423" s="64"/>
    </row>
    <row r="424" spans="1:15" ht="15.75" customHeight="1">
      <c r="A424" s="68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60"/>
      <c r="O424" s="64"/>
    </row>
    <row r="425" spans="1:15" ht="15.75" customHeight="1">
      <c r="A425" s="68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60"/>
      <c r="O425" s="64"/>
    </row>
    <row r="426" spans="1:15" ht="15.75" customHeight="1">
      <c r="A426" s="68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60"/>
      <c r="O426" s="64"/>
    </row>
    <row r="427" spans="1:15" ht="15.75" customHeight="1">
      <c r="A427" s="68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60"/>
      <c r="O427" s="64"/>
    </row>
    <row r="428" spans="1:15" ht="15.75" customHeight="1">
      <c r="A428" s="68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60"/>
      <c r="O428" s="64"/>
    </row>
    <row r="429" spans="1:15" ht="15.75" customHeight="1">
      <c r="A429" s="68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60"/>
      <c r="O429" s="64"/>
    </row>
    <row r="430" spans="1:15" ht="15.75" customHeight="1">
      <c r="A430" s="68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60"/>
      <c r="O430" s="64"/>
    </row>
    <row r="431" spans="1:15" ht="15.75" customHeight="1">
      <c r="A431" s="68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60"/>
      <c r="O431" s="64"/>
    </row>
    <row r="432" spans="1:15" ht="15.75" customHeight="1">
      <c r="A432" s="68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60"/>
      <c r="O432" s="64"/>
    </row>
    <row r="433" spans="1:15" ht="15.75" customHeight="1">
      <c r="A433" s="68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60"/>
      <c r="O433" s="64"/>
    </row>
    <row r="434" spans="1:15" ht="15.75" customHeight="1">
      <c r="A434" s="68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60"/>
      <c r="O434" s="64"/>
    </row>
    <row r="435" spans="1:15" ht="15.75" customHeight="1">
      <c r="A435" s="68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60"/>
      <c r="O435" s="64"/>
    </row>
    <row r="436" spans="1:15" ht="15.75" customHeight="1">
      <c r="A436" s="68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60"/>
      <c r="O436" s="64"/>
    </row>
    <row r="437" spans="1:15" ht="15.75" customHeight="1">
      <c r="A437" s="68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60"/>
      <c r="O437" s="64"/>
    </row>
    <row r="438" spans="1:15" ht="15.75" customHeight="1">
      <c r="A438" s="68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60"/>
      <c r="O438" s="64"/>
    </row>
    <row r="439" spans="1:15" ht="15.75" customHeight="1">
      <c r="A439" s="68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60"/>
      <c r="O439" s="64"/>
    </row>
    <row r="440" spans="1:15" ht="15.75" customHeight="1">
      <c r="A440" s="68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60"/>
      <c r="O440" s="64"/>
    </row>
    <row r="441" spans="1:15" ht="15.75" customHeight="1">
      <c r="A441" s="68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60"/>
      <c r="O441" s="64"/>
    </row>
    <row r="442" spans="1:15" ht="15.75" customHeight="1">
      <c r="A442" s="68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60"/>
      <c r="O442" s="64"/>
    </row>
    <row r="443" spans="1:15" ht="15.75" customHeight="1">
      <c r="A443" s="68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60"/>
      <c r="O443" s="64"/>
    </row>
    <row r="444" spans="1:15" ht="15.75" customHeight="1">
      <c r="A444" s="68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60"/>
      <c r="O444" s="64"/>
    </row>
    <row r="445" spans="1:15" ht="15.75" customHeight="1">
      <c r="A445" s="68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60"/>
      <c r="O445" s="64"/>
    </row>
    <row r="446" spans="1:15" ht="15.75" customHeight="1">
      <c r="A446" s="68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60"/>
      <c r="O446" s="64"/>
    </row>
    <row r="447" spans="1:15" ht="15.75" customHeight="1">
      <c r="A447" s="68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60"/>
      <c r="O447" s="64"/>
    </row>
    <row r="448" spans="1:15" ht="15.75" customHeight="1">
      <c r="A448" s="68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60"/>
      <c r="O448" s="64"/>
    </row>
    <row r="449" spans="1:15" ht="15.75" customHeight="1">
      <c r="A449" s="68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60"/>
      <c r="O449" s="64"/>
    </row>
    <row r="450" spans="1:15" ht="15.75" customHeight="1">
      <c r="A450" s="68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60"/>
      <c r="O450" s="64"/>
    </row>
    <row r="451" spans="1:15" ht="15.75" customHeight="1">
      <c r="A451" s="68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60"/>
      <c r="O451" s="64"/>
    </row>
    <row r="452" spans="1:15" ht="15.75" customHeight="1">
      <c r="A452" s="68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60"/>
      <c r="O452" s="64"/>
    </row>
    <row r="453" spans="1:15" ht="15.75" customHeight="1">
      <c r="A453" s="68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60"/>
      <c r="O453" s="64"/>
    </row>
    <row r="454" spans="1:15" ht="15.75" customHeight="1">
      <c r="A454" s="68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60"/>
      <c r="O454" s="64"/>
    </row>
    <row r="455" spans="1:15" ht="15.75" customHeight="1">
      <c r="A455" s="68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60"/>
      <c r="O455" s="64"/>
    </row>
    <row r="456" spans="1:15" ht="15.75" customHeight="1">
      <c r="A456" s="68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60"/>
      <c r="O456" s="64"/>
    </row>
    <row r="457" spans="1:15" ht="15.75" customHeight="1">
      <c r="A457" s="68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60"/>
      <c r="O457" s="64"/>
    </row>
    <row r="458" spans="1:15" ht="15.75" customHeight="1">
      <c r="A458" s="68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60"/>
      <c r="O458" s="64"/>
    </row>
    <row r="459" spans="1:15" ht="15.75" customHeight="1">
      <c r="A459" s="68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60"/>
      <c r="O459" s="64"/>
    </row>
    <row r="460" spans="1:15" ht="15.75" customHeight="1">
      <c r="A460" s="68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60"/>
      <c r="O460" s="64"/>
    </row>
    <row r="461" spans="1:15" ht="15.75" customHeight="1">
      <c r="A461" s="68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60"/>
      <c r="O461" s="64"/>
    </row>
    <row r="462" spans="1:15" ht="15.75" customHeight="1">
      <c r="A462" s="68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60"/>
      <c r="O462" s="64"/>
    </row>
    <row r="463" spans="1:15" ht="15.75" customHeight="1">
      <c r="A463" s="68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60"/>
      <c r="O463" s="64"/>
    </row>
    <row r="464" spans="1:15" ht="15.75" customHeight="1">
      <c r="A464" s="68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60"/>
      <c r="O464" s="64"/>
    </row>
    <row r="465" spans="1:15" ht="15.75" customHeight="1">
      <c r="A465" s="68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60"/>
      <c r="O465" s="64"/>
    </row>
    <row r="466" spans="1:15" ht="15.75" customHeight="1">
      <c r="A466" s="68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60"/>
      <c r="O466" s="64"/>
    </row>
    <row r="467" spans="1:15" ht="15.75" customHeight="1">
      <c r="A467" s="68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60"/>
      <c r="O467" s="64"/>
    </row>
    <row r="468" spans="1:15" ht="15.75" customHeight="1">
      <c r="A468" s="68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60"/>
      <c r="O468" s="64"/>
    </row>
    <row r="469" spans="1:15" ht="15.75" customHeight="1">
      <c r="A469" s="68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60"/>
      <c r="O469" s="64"/>
    </row>
    <row r="470" spans="1:15" ht="15.75" customHeight="1">
      <c r="A470" s="68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60"/>
      <c r="O470" s="64"/>
    </row>
    <row r="471" spans="1:15" ht="15.75" customHeight="1">
      <c r="A471" s="68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60"/>
      <c r="O471" s="64"/>
    </row>
    <row r="472" spans="1:15" ht="15.75" customHeight="1">
      <c r="A472" s="68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60"/>
      <c r="O472" s="64"/>
    </row>
    <row r="473" spans="1:15" ht="15.75" customHeight="1">
      <c r="A473" s="68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60"/>
      <c r="O473" s="64"/>
    </row>
    <row r="474" spans="1:15" ht="15.75" customHeight="1">
      <c r="A474" s="68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60"/>
      <c r="O474" s="64"/>
    </row>
    <row r="475" spans="1:15" ht="15.75" customHeight="1">
      <c r="A475" s="68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60"/>
      <c r="O475" s="64"/>
    </row>
    <row r="476" spans="1:15" ht="15.75" customHeight="1">
      <c r="A476" s="68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60"/>
      <c r="O476" s="64"/>
    </row>
    <row r="477" spans="1:15" ht="15.75" customHeight="1">
      <c r="A477" s="68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60"/>
      <c r="O477" s="64"/>
    </row>
    <row r="478" spans="1:15" ht="15.75" customHeight="1">
      <c r="A478" s="68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60"/>
      <c r="O478" s="64"/>
    </row>
    <row r="479" spans="1:15" ht="15.75" customHeight="1">
      <c r="A479" s="68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60"/>
      <c r="O479" s="64"/>
    </row>
    <row r="480" spans="1:15" ht="15.75" customHeight="1">
      <c r="A480" s="68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60"/>
      <c r="O480" s="64"/>
    </row>
    <row r="481" spans="1:15" ht="15.75" customHeight="1">
      <c r="A481" s="68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60"/>
      <c r="O481" s="64"/>
    </row>
    <row r="482" spans="1:15" ht="15.75" customHeight="1">
      <c r="A482" s="68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60"/>
      <c r="O482" s="64"/>
    </row>
    <row r="483" spans="1:15" ht="15.75" customHeight="1">
      <c r="A483" s="68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60"/>
      <c r="O483" s="64"/>
    </row>
    <row r="484" spans="1:15" ht="15.75" customHeight="1">
      <c r="A484" s="68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60"/>
      <c r="O484" s="64"/>
    </row>
    <row r="485" spans="1:15" ht="15.75" customHeight="1">
      <c r="A485" s="68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60"/>
      <c r="O485" s="64"/>
    </row>
    <row r="486" spans="1:15" ht="15.75" customHeight="1">
      <c r="A486" s="68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60"/>
      <c r="O486" s="64"/>
    </row>
    <row r="487" spans="1:15" ht="15.75" customHeight="1">
      <c r="A487" s="68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60"/>
      <c r="O487" s="64"/>
    </row>
    <row r="488" spans="1:15" ht="15.75" customHeight="1">
      <c r="A488" s="68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60"/>
      <c r="O488" s="64"/>
    </row>
    <row r="489" spans="1:15" ht="15.75" customHeight="1">
      <c r="A489" s="68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60"/>
      <c r="O489" s="64"/>
    </row>
    <row r="490" spans="1:15" ht="15.75" customHeight="1">
      <c r="A490" s="68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60"/>
      <c r="O490" s="64"/>
    </row>
    <row r="491" spans="1:15" ht="15.75" customHeight="1">
      <c r="A491" s="68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60"/>
      <c r="O491" s="64"/>
    </row>
    <row r="492" spans="1:15" ht="15.75" customHeight="1">
      <c r="A492" s="68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60"/>
      <c r="O492" s="64"/>
    </row>
    <row r="493" spans="1:15" ht="15.75" customHeight="1">
      <c r="A493" s="68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60"/>
      <c r="O493" s="64"/>
    </row>
    <row r="494" spans="1:15" ht="15.75" customHeight="1">
      <c r="A494" s="68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60"/>
      <c r="O494" s="64"/>
    </row>
    <row r="495" spans="1:15" ht="15.75" customHeight="1">
      <c r="A495" s="68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60"/>
      <c r="O495" s="64"/>
    </row>
    <row r="496" spans="1:15" ht="15.75" customHeight="1">
      <c r="A496" s="68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60"/>
      <c r="O496" s="64"/>
    </row>
    <row r="497" spans="1:15" ht="15.75" customHeight="1">
      <c r="A497" s="68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60"/>
      <c r="O497" s="64"/>
    </row>
    <row r="498" spans="1:15" ht="15.75" customHeight="1">
      <c r="A498" s="68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60"/>
      <c r="O498" s="64"/>
    </row>
    <row r="499" spans="1:15" ht="15.75" customHeight="1">
      <c r="A499" s="68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60"/>
      <c r="O499" s="64"/>
    </row>
    <row r="500" spans="1:15" ht="15.75" customHeight="1">
      <c r="A500" s="68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60"/>
      <c r="O500" s="64"/>
    </row>
    <row r="501" spans="1:15" ht="15.75" customHeight="1">
      <c r="A501" s="68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60"/>
      <c r="O501" s="64"/>
    </row>
    <row r="502" spans="1:15" ht="15.75" customHeight="1">
      <c r="A502" s="68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60"/>
      <c r="O502" s="64"/>
    </row>
    <row r="503" spans="1:15" ht="15.75" customHeight="1">
      <c r="A503" s="68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60"/>
      <c r="O503" s="64"/>
    </row>
    <row r="504" spans="1:15" ht="15.75" customHeight="1">
      <c r="A504" s="68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60"/>
      <c r="O504" s="64"/>
    </row>
    <row r="505" spans="1:15" ht="15.75" customHeight="1">
      <c r="A505" s="68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60"/>
      <c r="O505" s="64"/>
    </row>
    <row r="506" spans="1:15" ht="15.75" customHeight="1">
      <c r="A506" s="68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60"/>
      <c r="O506" s="64"/>
    </row>
    <row r="507" spans="1:15" ht="15.75" customHeight="1">
      <c r="A507" s="68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60"/>
      <c r="O507" s="64"/>
    </row>
    <row r="508" spans="1:15" ht="15.75" customHeight="1">
      <c r="A508" s="68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60"/>
      <c r="O508" s="64"/>
    </row>
    <row r="509" spans="1:15" ht="15.75" customHeight="1">
      <c r="A509" s="68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60"/>
      <c r="O509" s="64"/>
    </row>
    <row r="510" spans="1:15" ht="15.75" customHeight="1">
      <c r="A510" s="68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60"/>
      <c r="O510" s="64"/>
    </row>
    <row r="511" spans="1:15" ht="15.75" customHeight="1">
      <c r="A511" s="68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60"/>
      <c r="O511" s="64"/>
    </row>
    <row r="512" spans="1:15" ht="15.75" customHeight="1">
      <c r="A512" s="68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60"/>
      <c r="O512" s="64"/>
    </row>
    <row r="513" spans="1:15" ht="15.75" customHeight="1">
      <c r="A513" s="68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60"/>
      <c r="O513" s="64"/>
    </row>
    <row r="514" spans="1:15" ht="15.75" customHeight="1">
      <c r="A514" s="68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60"/>
      <c r="O514" s="64"/>
    </row>
    <row r="515" spans="1:15" ht="15.75" customHeight="1">
      <c r="A515" s="68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60"/>
      <c r="O515" s="64"/>
    </row>
    <row r="516" spans="1:15" ht="15.75" customHeight="1">
      <c r="A516" s="68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60"/>
      <c r="O516" s="64"/>
    </row>
    <row r="517" spans="1:15" ht="15.75" customHeight="1">
      <c r="A517" s="68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60"/>
      <c r="O517" s="64"/>
    </row>
    <row r="518" spans="1:15" ht="15.75" customHeight="1">
      <c r="A518" s="68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60"/>
      <c r="O518" s="64"/>
    </row>
    <row r="519" spans="1:15" ht="15.75" customHeight="1">
      <c r="A519" s="68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60"/>
      <c r="O519" s="64"/>
    </row>
    <row r="520" spans="1:15" ht="15.75" customHeight="1">
      <c r="A520" s="68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60"/>
      <c r="O520" s="64"/>
    </row>
    <row r="521" spans="1:15" ht="15.75" customHeight="1">
      <c r="A521" s="68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60"/>
      <c r="O521" s="64"/>
    </row>
    <row r="522" spans="1:15" ht="15.75" customHeight="1">
      <c r="A522" s="68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60"/>
      <c r="O522" s="64"/>
    </row>
    <row r="523" spans="1:15" ht="15.75" customHeight="1">
      <c r="A523" s="68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60"/>
      <c r="O523" s="64"/>
    </row>
    <row r="524" spans="1:15" ht="15.75" customHeight="1">
      <c r="A524" s="68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60"/>
      <c r="O524" s="64"/>
    </row>
    <row r="525" spans="1:15" ht="15.75" customHeight="1">
      <c r="A525" s="68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60"/>
      <c r="O525" s="64"/>
    </row>
    <row r="526" spans="1:15" ht="15.75" customHeight="1">
      <c r="A526" s="68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60"/>
      <c r="O526" s="64"/>
    </row>
    <row r="527" spans="1:15" ht="15.75" customHeight="1">
      <c r="A527" s="68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60"/>
      <c r="O527" s="64"/>
    </row>
    <row r="528" spans="1:15" ht="15.75" customHeight="1">
      <c r="A528" s="68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60"/>
      <c r="O528" s="64"/>
    </row>
    <row r="529" spans="1:15" ht="15.75" customHeight="1">
      <c r="A529" s="68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60"/>
      <c r="O529" s="64"/>
    </row>
    <row r="530" spans="1:15" ht="15.75" customHeight="1">
      <c r="A530" s="68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60"/>
      <c r="O530" s="64"/>
    </row>
    <row r="531" spans="1:15" ht="15.75" customHeight="1">
      <c r="A531" s="68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60"/>
      <c r="O531" s="64"/>
    </row>
    <row r="532" spans="1:15" ht="15.75" customHeight="1">
      <c r="A532" s="68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60"/>
      <c r="O532" s="64"/>
    </row>
    <row r="533" spans="1:15" ht="15.75" customHeight="1">
      <c r="A533" s="68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60"/>
      <c r="O533" s="64"/>
    </row>
    <row r="534" spans="1:15" ht="15.75" customHeight="1">
      <c r="A534" s="68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60"/>
      <c r="O534" s="64"/>
    </row>
    <row r="535" spans="1:15" ht="15.75" customHeight="1">
      <c r="A535" s="68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60"/>
      <c r="O535" s="64"/>
    </row>
    <row r="536" spans="1:15" ht="15.75" customHeight="1">
      <c r="A536" s="68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60"/>
      <c r="O536" s="64"/>
    </row>
    <row r="537" spans="1:15" ht="15.75" customHeight="1">
      <c r="A537" s="68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60"/>
      <c r="O537" s="64"/>
    </row>
    <row r="538" spans="1:15" ht="15.75" customHeight="1">
      <c r="A538" s="68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60"/>
      <c r="O538" s="64"/>
    </row>
    <row r="539" spans="1:15" ht="15.75" customHeight="1">
      <c r="A539" s="68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60"/>
      <c r="O539" s="64"/>
    </row>
    <row r="540" spans="1:15" ht="15.75" customHeight="1">
      <c r="A540" s="68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60"/>
      <c r="O540" s="64"/>
    </row>
    <row r="541" spans="1:15" ht="15.75" customHeight="1">
      <c r="A541" s="68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60"/>
      <c r="O541" s="64"/>
    </row>
    <row r="542" spans="1:15" ht="15.75" customHeight="1">
      <c r="A542" s="68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60"/>
      <c r="O542" s="64"/>
    </row>
    <row r="543" spans="1:15" ht="15.75" customHeight="1">
      <c r="A543" s="68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60"/>
      <c r="O543" s="64"/>
    </row>
    <row r="544" spans="1:15" ht="15.75" customHeight="1">
      <c r="A544" s="68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60"/>
      <c r="O544" s="64"/>
    </row>
    <row r="545" spans="1:15" ht="15.75" customHeight="1">
      <c r="A545" s="68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60"/>
      <c r="O545" s="64"/>
    </row>
    <row r="546" spans="1:15" ht="15.75" customHeight="1">
      <c r="A546" s="68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60"/>
      <c r="O546" s="64"/>
    </row>
    <row r="547" spans="1:15" ht="15.75" customHeight="1">
      <c r="A547" s="68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60"/>
      <c r="O547" s="64"/>
    </row>
    <row r="548" spans="1:15" ht="15.75" customHeight="1">
      <c r="A548" s="68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60"/>
      <c r="O548" s="64"/>
    </row>
    <row r="549" spans="1:15" ht="15.75" customHeight="1">
      <c r="A549" s="68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60"/>
      <c r="O549" s="64"/>
    </row>
    <row r="550" spans="1:15" ht="15.75" customHeight="1">
      <c r="A550" s="68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60"/>
      <c r="O550" s="64"/>
    </row>
    <row r="551" spans="1:15" ht="15.75" customHeight="1">
      <c r="A551" s="68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60"/>
      <c r="O551" s="64"/>
    </row>
    <row r="552" spans="1:15" ht="15.75" customHeight="1">
      <c r="A552" s="68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60"/>
      <c r="O552" s="64"/>
    </row>
    <row r="553" spans="1:15" ht="15.75" customHeight="1">
      <c r="A553" s="68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60"/>
      <c r="O553" s="64"/>
    </row>
    <row r="554" spans="1:15" ht="15.75" customHeight="1">
      <c r="A554" s="68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60"/>
      <c r="O554" s="64"/>
    </row>
    <row r="555" spans="1:15" ht="15.75" customHeight="1">
      <c r="A555" s="68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60"/>
      <c r="O555" s="64"/>
    </row>
    <row r="556" spans="1:15" ht="15.75" customHeight="1">
      <c r="A556" s="68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60"/>
      <c r="O556" s="64"/>
    </row>
    <row r="557" spans="1:15" ht="15.75" customHeight="1">
      <c r="A557" s="68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60"/>
      <c r="O557" s="64"/>
    </row>
    <row r="558" spans="1:15" ht="15.75" customHeight="1">
      <c r="A558" s="68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60"/>
      <c r="O558" s="64"/>
    </row>
    <row r="559" spans="1:15" ht="15.75" customHeight="1">
      <c r="A559" s="68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60"/>
      <c r="O559" s="64"/>
    </row>
    <row r="560" spans="1:15" ht="15.75" customHeight="1">
      <c r="A560" s="68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60"/>
      <c r="O560" s="64"/>
    </row>
    <row r="561" spans="1:15" ht="15.75" customHeight="1">
      <c r="A561" s="68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60"/>
      <c r="O561" s="64"/>
    </row>
    <row r="562" spans="1:15" ht="15.75" customHeight="1">
      <c r="A562" s="68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60"/>
      <c r="O562" s="64"/>
    </row>
    <row r="563" spans="1:15" ht="15.75" customHeight="1">
      <c r="A563" s="68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60"/>
      <c r="O563" s="64"/>
    </row>
    <row r="564" spans="1:15" ht="15.75" customHeight="1">
      <c r="A564" s="68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60"/>
      <c r="O564" s="64"/>
    </row>
    <row r="565" spans="1:15" ht="15.75" customHeight="1">
      <c r="A565" s="68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60"/>
      <c r="O565" s="64"/>
    </row>
    <row r="566" spans="1:15" ht="15.75" customHeight="1">
      <c r="A566" s="68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60"/>
      <c r="O566" s="64"/>
    </row>
    <row r="567" spans="1:15" ht="15.75" customHeight="1">
      <c r="A567" s="68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60"/>
      <c r="O567" s="64"/>
    </row>
    <row r="568" spans="1:15" ht="15.75" customHeight="1">
      <c r="A568" s="68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60"/>
      <c r="O568" s="64"/>
    </row>
    <row r="569" spans="1:15" ht="15.75" customHeight="1">
      <c r="A569" s="68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60"/>
      <c r="O569" s="64"/>
    </row>
    <row r="570" spans="1:15" ht="15.75" customHeight="1">
      <c r="A570" s="68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60"/>
      <c r="O570" s="64"/>
    </row>
    <row r="571" spans="1:15" ht="15.75" customHeight="1">
      <c r="A571" s="68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60"/>
      <c r="O571" s="64"/>
    </row>
    <row r="572" spans="1:15" ht="15.75" customHeight="1">
      <c r="A572" s="68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60"/>
      <c r="O572" s="64"/>
    </row>
    <row r="573" spans="1:15" ht="15.75" customHeight="1">
      <c r="A573" s="68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60"/>
      <c r="O573" s="64"/>
    </row>
    <row r="574" spans="1:15" ht="15.75" customHeight="1">
      <c r="A574" s="68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60"/>
      <c r="O574" s="64"/>
    </row>
    <row r="575" spans="1:15" ht="15.75" customHeight="1">
      <c r="A575" s="68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60"/>
      <c r="O575" s="64"/>
    </row>
    <row r="576" spans="1:15" ht="15.75" customHeight="1">
      <c r="A576" s="68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60"/>
      <c r="O576" s="64"/>
    </row>
    <row r="577" spans="1:15" ht="15.75" customHeight="1">
      <c r="A577" s="68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60"/>
      <c r="O577" s="64"/>
    </row>
    <row r="578" spans="1:15" ht="15.75" customHeight="1">
      <c r="A578" s="68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60"/>
      <c r="O578" s="64"/>
    </row>
    <row r="579" spans="1:15" ht="15.75" customHeight="1">
      <c r="A579" s="68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60"/>
      <c r="O579" s="64"/>
    </row>
    <row r="580" spans="1:15" ht="15.75" customHeight="1">
      <c r="A580" s="68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60"/>
      <c r="O580" s="64"/>
    </row>
    <row r="581" spans="1:15" ht="15.75" customHeight="1">
      <c r="A581" s="68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60"/>
      <c r="O581" s="64"/>
    </row>
    <row r="582" spans="1:15" ht="15.75" customHeight="1">
      <c r="A582" s="68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60"/>
      <c r="O582" s="64"/>
    </row>
    <row r="583" spans="1:15" ht="15.75" customHeight="1">
      <c r="A583" s="68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60"/>
      <c r="O583" s="64"/>
    </row>
    <row r="584" spans="1:15" ht="15.75" customHeight="1">
      <c r="A584" s="68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60"/>
      <c r="O584" s="64"/>
    </row>
    <row r="585" spans="1:15" ht="15.75" customHeight="1">
      <c r="A585" s="68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60"/>
      <c r="O585" s="64"/>
    </row>
    <row r="586" spans="1:15" ht="15.75" customHeight="1">
      <c r="A586" s="68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60"/>
      <c r="O586" s="64"/>
    </row>
    <row r="587" spans="1:15" ht="15.75" customHeight="1">
      <c r="A587" s="68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60"/>
      <c r="O587" s="64"/>
    </row>
    <row r="588" spans="1:15" ht="15.75" customHeight="1">
      <c r="A588" s="68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60"/>
      <c r="O588" s="64"/>
    </row>
    <row r="589" spans="1:15" ht="15.75" customHeight="1">
      <c r="A589" s="68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60"/>
      <c r="O589" s="64"/>
    </row>
    <row r="590" spans="1:15" ht="15.75" customHeight="1">
      <c r="A590" s="68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60"/>
      <c r="O590" s="64"/>
    </row>
    <row r="591" spans="1:15" ht="15.75" customHeight="1">
      <c r="A591" s="68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60"/>
      <c r="O591" s="64"/>
    </row>
    <row r="592" spans="1:15" ht="15.75" customHeight="1">
      <c r="A592" s="68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60"/>
      <c r="O592" s="64"/>
    </row>
    <row r="593" spans="1:15" ht="15.75" customHeight="1">
      <c r="A593" s="68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60"/>
      <c r="O593" s="64"/>
    </row>
    <row r="594" spans="1:15" ht="15.75" customHeight="1">
      <c r="A594" s="68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60"/>
      <c r="O594" s="64"/>
    </row>
    <row r="595" spans="1:15" ht="15.75" customHeight="1">
      <c r="A595" s="68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60"/>
      <c r="O595" s="64"/>
    </row>
    <row r="596" spans="1:15" ht="15.75" customHeight="1">
      <c r="A596" s="68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60"/>
      <c r="O596" s="64"/>
    </row>
    <row r="597" spans="1:15" ht="15.75" customHeight="1">
      <c r="A597" s="68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60"/>
      <c r="O597" s="64"/>
    </row>
    <row r="598" spans="1:15" ht="15.75" customHeight="1">
      <c r="A598" s="68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60"/>
      <c r="O598" s="64"/>
    </row>
    <row r="599" spans="1:15" ht="15.75" customHeight="1">
      <c r="A599" s="68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60"/>
      <c r="O599" s="64"/>
    </row>
    <row r="600" spans="1:15" ht="15.75" customHeight="1">
      <c r="A600" s="68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60"/>
      <c r="O600" s="64"/>
    </row>
    <row r="601" spans="1:15" ht="15.75" customHeight="1">
      <c r="A601" s="68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60"/>
      <c r="O601" s="64"/>
    </row>
    <row r="602" spans="1:15" ht="15.75" customHeight="1">
      <c r="A602" s="68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60"/>
      <c r="O602" s="64"/>
    </row>
    <row r="603" spans="1:15" ht="15.75" customHeight="1">
      <c r="A603" s="68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60"/>
      <c r="O603" s="64"/>
    </row>
    <row r="604" spans="1:15" ht="15.75" customHeight="1">
      <c r="A604" s="68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60"/>
      <c r="O604" s="64"/>
    </row>
    <row r="605" spans="1:15" ht="15.75" customHeight="1">
      <c r="A605" s="68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60"/>
      <c r="O605" s="64"/>
    </row>
    <row r="606" spans="1:15" ht="15.75" customHeight="1">
      <c r="A606" s="68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60"/>
      <c r="O606" s="64"/>
    </row>
    <row r="607" spans="1:15" ht="15.75" customHeight="1">
      <c r="A607" s="68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60"/>
      <c r="O607" s="64"/>
    </row>
    <row r="608" spans="1:15" ht="15.75" customHeight="1">
      <c r="A608" s="68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60"/>
      <c r="O608" s="64"/>
    </row>
    <row r="609" spans="1:15" ht="15.75" customHeight="1">
      <c r="A609" s="68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60"/>
      <c r="O609" s="64"/>
    </row>
    <row r="610" spans="1:15" ht="15.75" customHeight="1">
      <c r="A610" s="68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60"/>
      <c r="O610" s="64"/>
    </row>
    <row r="611" spans="1:15" ht="15.75" customHeight="1">
      <c r="A611" s="68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60"/>
      <c r="O611" s="64"/>
    </row>
    <row r="612" spans="1:15" ht="15.75" customHeight="1">
      <c r="A612" s="68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60"/>
      <c r="O612" s="64"/>
    </row>
    <row r="613" spans="1:15" ht="15.75" customHeight="1">
      <c r="A613" s="68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60"/>
      <c r="O613" s="64"/>
    </row>
    <row r="614" spans="1:15" ht="15.75" customHeight="1">
      <c r="A614" s="68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60"/>
      <c r="O614" s="64"/>
    </row>
    <row r="615" spans="1:15" ht="15.75" customHeight="1">
      <c r="A615" s="68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60"/>
      <c r="O615" s="64"/>
    </row>
    <row r="616" spans="1:15" ht="15.75" customHeight="1">
      <c r="A616" s="68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60"/>
      <c r="O616" s="64"/>
    </row>
    <row r="617" spans="1:15" ht="15.75" customHeight="1">
      <c r="A617" s="68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60"/>
      <c r="O617" s="64"/>
    </row>
    <row r="618" spans="1:15" ht="15.75" customHeight="1">
      <c r="A618" s="68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60"/>
      <c r="O618" s="64"/>
    </row>
    <row r="619" spans="1:15" ht="15.75" customHeight="1">
      <c r="A619" s="68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60"/>
      <c r="O619" s="64"/>
    </row>
    <row r="620" spans="1:15" ht="15.75" customHeight="1">
      <c r="A620" s="68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60"/>
      <c r="O620" s="64"/>
    </row>
    <row r="621" spans="1:15" ht="15.75" customHeight="1">
      <c r="A621" s="68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60"/>
      <c r="O621" s="64"/>
    </row>
    <row r="622" spans="1:15" ht="15.75" customHeight="1">
      <c r="A622" s="68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60"/>
      <c r="O622" s="64"/>
    </row>
    <row r="623" spans="1:15" ht="15.75" customHeight="1">
      <c r="A623" s="68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60"/>
      <c r="O623" s="64"/>
    </row>
    <row r="624" spans="1:15" ht="15.75" customHeight="1">
      <c r="A624" s="68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60"/>
      <c r="O624" s="64"/>
    </row>
    <row r="625" spans="1:15" ht="15.75" customHeight="1">
      <c r="A625" s="68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60"/>
      <c r="O625" s="64"/>
    </row>
    <row r="626" spans="1:15" ht="15.75" customHeight="1">
      <c r="A626" s="68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60"/>
      <c r="O626" s="64"/>
    </row>
    <row r="627" spans="1:15" ht="15.75" customHeight="1">
      <c r="A627" s="68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60"/>
      <c r="O627" s="64"/>
    </row>
    <row r="628" spans="1:15" ht="15.75" customHeight="1">
      <c r="A628" s="68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60"/>
      <c r="O628" s="64"/>
    </row>
    <row r="629" spans="1:15" ht="15.75" customHeight="1">
      <c r="A629" s="68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60"/>
      <c r="O629" s="64"/>
    </row>
    <row r="630" spans="1:15" ht="15.75" customHeight="1">
      <c r="A630" s="68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60"/>
      <c r="O630" s="64"/>
    </row>
    <row r="631" spans="1:15" ht="15.75" customHeight="1">
      <c r="A631" s="68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60"/>
      <c r="O631" s="64"/>
    </row>
    <row r="632" spans="1:15" ht="15.75" customHeight="1">
      <c r="A632" s="68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60"/>
      <c r="O632" s="64"/>
    </row>
    <row r="633" spans="1:15" ht="15.75" customHeight="1">
      <c r="A633" s="68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60"/>
      <c r="O633" s="64"/>
    </row>
    <row r="634" spans="1:15" ht="15.75" customHeight="1">
      <c r="A634" s="68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60"/>
      <c r="O634" s="64"/>
    </row>
    <row r="635" spans="1:15" ht="15.75" customHeight="1">
      <c r="A635" s="68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60"/>
      <c r="O635" s="64"/>
    </row>
    <row r="636" spans="1:15" ht="15.75" customHeight="1">
      <c r="A636" s="68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60"/>
      <c r="O636" s="64"/>
    </row>
    <row r="637" spans="1:15" ht="15.75" customHeight="1">
      <c r="A637" s="68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60"/>
      <c r="O637" s="64"/>
    </row>
    <row r="638" spans="1:15" ht="15.75" customHeight="1">
      <c r="A638" s="68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60"/>
      <c r="O638" s="64"/>
    </row>
    <row r="639" spans="1:15" ht="15.75" customHeight="1">
      <c r="A639" s="68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60"/>
      <c r="O639" s="64"/>
    </row>
    <row r="640" spans="1:15" ht="15.75" customHeight="1">
      <c r="A640" s="68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60"/>
      <c r="O640" s="64"/>
    </row>
    <row r="641" spans="1:15" ht="15.75" customHeight="1">
      <c r="A641" s="68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60"/>
      <c r="O641" s="64"/>
    </row>
    <row r="642" spans="1:15" ht="15.75" customHeight="1">
      <c r="A642" s="68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60"/>
      <c r="O642" s="64"/>
    </row>
    <row r="643" spans="1:15" ht="15.75" customHeight="1">
      <c r="A643" s="68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60"/>
      <c r="O643" s="64"/>
    </row>
    <row r="644" spans="1:15" ht="15.75" customHeight="1">
      <c r="A644" s="68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60"/>
      <c r="O644" s="64"/>
    </row>
    <row r="645" spans="1:15" ht="15.75" customHeight="1">
      <c r="A645" s="68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60"/>
      <c r="O645" s="64"/>
    </row>
    <row r="646" spans="1:15" ht="15.75" customHeight="1">
      <c r="A646" s="68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60"/>
      <c r="O646" s="64"/>
    </row>
    <row r="647" spans="1:15" ht="15.75" customHeight="1">
      <c r="A647" s="68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60"/>
      <c r="O647" s="64"/>
    </row>
    <row r="648" spans="1:15" ht="15.75" customHeight="1">
      <c r="A648" s="68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60"/>
      <c r="O648" s="64"/>
    </row>
    <row r="649" spans="1:15" ht="15.75" customHeight="1">
      <c r="A649" s="68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60"/>
      <c r="O649" s="64"/>
    </row>
    <row r="650" spans="1:15" ht="15.75" customHeight="1">
      <c r="A650" s="68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60"/>
      <c r="O650" s="64"/>
    </row>
    <row r="651" spans="1:15" ht="15.75" customHeight="1">
      <c r="A651" s="68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60"/>
      <c r="O651" s="64"/>
    </row>
    <row r="652" spans="1:15" ht="15.75" customHeight="1">
      <c r="A652" s="68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60"/>
      <c r="O652" s="64"/>
    </row>
    <row r="653" spans="1:15" ht="15.75" customHeight="1">
      <c r="A653" s="68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60"/>
      <c r="O653" s="64"/>
    </row>
    <row r="654" spans="1:15" ht="15.75" customHeight="1">
      <c r="A654" s="68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60"/>
      <c r="O654" s="64"/>
    </row>
    <row r="655" spans="1:15" ht="15.75" customHeight="1">
      <c r="A655" s="68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60"/>
      <c r="O655" s="64"/>
    </row>
    <row r="656" spans="1:15" ht="15.75" customHeight="1">
      <c r="A656" s="68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60"/>
      <c r="O656" s="64"/>
    </row>
    <row r="657" spans="1:15" ht="15.75" customHeight="1">
      <c r="A657" s="68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60"/>
      <c r="O657" s="64"/>
    </row>
    <row r="658" spans="1:15" ht="15.75" customHeight="1">
      <c r="A658" s="68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60"/>
      <c r="O658" s="64"/>
    </row>
    <row r="659" spans="1:15" ht="15.75" customHeight="1">
      <c r="A659" s="68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60"/>
      <c r="O659" s="64"/>
    </row>
    <row r="660" spans="1:15" ht="15.75" customHeight="1">
      <c r="A660" s="68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60"/>
      <c r="O660" s="64"/>
    </row>
    <row r="661" spans="1:15" ht="15.75" customHeight="1">
      <c r="A661" s="68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60"/>
      <c r="O661" s="64"/>
    </row>
    <row r="662" spans="1:15" ht="15.75" customHeight="1">
      <c r="A662" s="68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60"/>
      <c r="O662" s="64"/>
    </row>
    <row r="663" spans="1:15" ht="15.75" customHeight="1">
      <c r="A663" s="68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60"/>
      <c r="O663" s="64"/>
    </row>
    <row r="664" spans="1:15" ht="15.75" customHeight="1">
      <c r="A664" s="68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60"/>
      <c r="O664" s="64"/>
    </row>
    <row r="665" spans="1:15" ht="15.75" customHeight="1">
      <c r="A665" s="68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60"/>
      <c r="O665" s="64"/>
    </row>
    <row r="666" spans="1:15" ht="15.75" customHeight="1">
      <c r="A666" s="68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60"/>
      <c r="O666" s="64"/>
    </row>
    <row r="667" spans="1:15" ht="15.75" customHeight="1">
      <c r="A667" s="68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60"/>
      <c r="O667" s="64"/>
    </row>
    <row r="668" spans="1:15" ht="15.75" customHeight="1">
      <c r="A668" s="68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60"/>
      <c r="O668" s="64"/>
    </row>
    <row r="669" spans="1:15" ht="15.75" customHeight="1">
      <c r="A669" s="68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60"/>
      <c r="O669" s="64"/>
    </row>
    <row r="670" spans="1:15" ht="15.75" customHeight="1">
      <c r="A670" s="68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60"/>
      <c r="O670" s="64"/>
    </row>
    <row r="671" spans="1:15" ht="15.75" customHeight="1">
      <c r="A671" s="68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60"/>
      <c r="O671" s="64"/>
    </row>
    <row r="672" spans="1:15" ht="15.75" customHeight="1">
      <c r="A672" s="68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60"/>
      <c r="O672" s="64"/>
    </row>
    <row r="673" spans="1:15" ht="15.75" customHeight="1">
      <c r="A673" s="68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60"/>
      <c r="O673" s="64"/>
    </row>
    <row r="674" spans="1:15" ht="15.75" customHeight="1">
      <c r="A674" s="68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60"/>
      <c r="O674" s="64"/>
    </row>
    <row r="675" spans="1:15" ht="15.75" customHeight="1">
      <c r="A675" s="68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60"/>
      <c r="O675" s="64"/>
    </row>
    <row r="676" spans="1:15" ht="15.75" customHeight="1">
      <c r="A676" s="68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60"/>
      <c r="O676" s="64"/>
    </row>
    <row r="677" spans="1:15" ht="15.75" customHeight="1">
      <c r="A677" s="68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60"/>
      <c r="O677" s="64"/>
    </row>
    <row r="678" spans="1:15" ht="15.75" customHeight="1">
      <c r="A678" s="68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60"/>
      <c r="O678" s="64"/>
    </row>
    <row r="679" spans="1:15" ht="15.75" customHeight="1">
      <c r="A679" s="68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60"/>
      <c r="O679" s="64"/>
    </row>
    <row r="680" spans="1:15" ht="15.75" customHeight="1">
      <c r="A680" s="68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60"/>
      <c r="O680" s="64"/>
    </row>
    <row r="681" spans="1:15" ht="15.75" customHeight="1">
      <c r="A681" s="68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60"/>
      <c r="O681" s="64"/>
    </row>
    <row r="682" spans="1:15" ht="15.75" customHeight="1">
      <c r="A682" s="68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60"/>
      <c r="O682" s="64"/>
    </row>
    <row r="683" spans="1:15" ht="15.75" customHeight="1">
      <c r="A683" s="68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60"/>
      <c r="O683" s="64"/>
    </row>
    <row r="684" spans="1:15" ht="15.75" customHeight="1">
      <c r="A684" s="68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60"/>
      <c r="O684" s="64"/>
    </row>
    <row r="685" spans="1:15" ht="15.75" customHeight="1">
      <c r="A685" s="68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60"/>
      <c r="O685" s="64"/>
    </row>
    <row r="686" spans="1:15" ht="15.75" customHeight="1">
      <c r="A686" s="68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60"/>
      <c r="O686" s="64"/>
    </row>
    <row r="687" spans="1:15" ht="15.75" customHeight="1">
      <c r="A687" s="68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60"/>
      <c r="O687" s="64"/>
    </row>
    <row r="688" spans="1:15" ht="15.75" customHeight="1">
      <c r="A688" s="68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60"/>
      <c r="O688" s="64"/>
    </row>
    <row r="689" spans="1:15" ht="15.75" customHeight="1">
      <c r="A689" s="68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60"/>
      <c r="O689" s="64"/>
    </row>
    <row r="690" spans="1:15" ht="15.75" customHeight="1">
      <c r="A690" s="68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60"/>
      <c r="O690" s="64"/>
    </row>
    <row r="691" spans="1:15" ht="15.75" customHeight="1">
      <c r="A691" s="68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60"/>
      <c r="O691" s="64"/>
    </row>
    <row r="692" spans="1:15" ht="15.75" customHeight="1">
      <c r="A692" s="68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60"/>
      <c r="O692" s="64"/>
    </row>
    <row r="693" spans="1:15" ht="15.75" customHeight="1">
      <c r="A693" s="68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60"/>
      <c r="O693" s="64"/>
    </row>
    <row r="694" spans="1:15" ht="15.75" customHeight="1">
      <c r="A694" s="68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60"/>
      <c r="O694" s="64"/>
    </row>
    <row r="695" spans="1:15" ht="15.75" customHeight="1">
      <c r="A695" s="68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60"/>
      <c r="O695" s="64"/>
    </row>
    <row r="696" spans="1:15" ht="15.75" customHeight="1">
      <c r="A696" s="68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60"/>
      <c r="O696" s="64"/>
    </row>
    <row r="697" spans="1:15" ht="15.75" customHeight="1">
      <c r="A697" s="68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60"/>
      <c r="O697" s="64"/>
    </row>
    <row r="698" spans="1:15" ht="15.75" customHeight="1">
      <c r="A698" s="68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60"/>
      <c r="O698" s="64"/>
    </row>
    <row r="699" spans="1:15" ht="15.75" customHeight="1">
      <c r="A699" s="68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60"/>
      <c r="O699" s="64"/>
    </row>
    <row r="700" spans="1:15" ht="15.75" customHeight="1">
      <c r="A700" s="68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60"/>
      <c r="O700" s="64"/>
    </row>
    <row r="701" spans="1:15" ht="15.75" customHeight="1">
      <c r="A701" s="68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60"/>
      <c r="O701" s="64"/>
    </row>
    <row r="702" spans="1:15" ht="15.75" customHeight="1">
      <c r="A702" s="68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60"/>
      <c r="O702" s="64"/>
    </row>
    <row r="703" spans="1:15" ht="15.75" customHeight="1">
      <c r="A703" s="68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60"/>
      <c r="O703" s="64"/>
    </row>
    <row r="704" spans="1:15" ht="15.75" customHeight="1">
      <c r="A704" s="68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60"/>
      <c r="O704" s="64"/>
    </row>
    <row r="705" spans="1:15" ht="15.75" customHeight="1">
      <c r="A705" s="68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60"/>
      <c r="O705" s="64"/>
    </row>
    <row r="706" spans="1:15" ht="15.75" customHeight="1">
      <c r="A706" s="68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60"/>
      <c r="O706" s="64"/>
    </row>
    <row r="707" spans="1:15" ht="15.75" customHeight="1">
      <c r="A707" s="68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60"/>
      <c r="O707" s="64"/>
    </row>
    <row r="708" spans="1:15" ht="15.75" customHeight="1">
      <c r="A708" s="68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60"/>
      <c r="O708" s="64"/>
    </row>
    <row r="709" spans="1:15" ht="15.75" customHeight="1">
      <c r="A709" s="68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60"/>
      <c r="O709" s="64"/>
    </row>
    <row r="710" spans="1:15" ht="15.75" customHeight="1">
      <c r="A710" s="68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60"/>
      <c r="O710" s="64"/>
    </row>
    <row r="711" spans="1:15" ht="15.75" customHeight="1">
      <c r="A711" s="68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60"/>
      <c r="O711" s="64"/>
    </row>
    <row r="712" spans="1:15" ht="15.75" customHeight="1">
      <c r="A712" s="68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60"/>
      <c r="O712" s="64"/>
    </row>
    <row r="713" spans="1:15" ht="15.75" customHeight="1">
      <c r="A713" s="68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60"/>
      <c r="O713" s="64"/>
    </row>
    <row r="714" spans="1:15" ht="15.75" customHeight="1">
      <c r="A714" s="68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60"/>
      <c r="O714" s="64"/>
    </row>
    <row r="715" spans="1:15" ht="15.75" customHeight="1">
      <c r="A715" s="68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60"/>
      <c r="O715" s="64"/>
    </row>
    <row r="716" spans="1:15" ht="15.75" customHeight="1">
      <c r="A716" s="68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60"/>
      <c r="O716" s="64"/>
    </row>
    <row r="717" spans="1:15" ht="15.75" customHeight="1">
      <c r="A717" s="68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60"/>
      <c r="O717" s="64"/>
    </row>
    <row r="718" spans="1:15" ht="15.75" customHeight="1">
      <c r="A718" s="68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60"/>
      <c r="O718" s="64"/>
    </row>
    <row r="719" spans="1:15" ht="15.75" customHeight="1">
      <c r="A719" s="68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60"/>
      <c r="O719" s="64"/>
    </row>
    <row r="720" spans="1:15" ht="15.75" customHeight="1">
      <c r="A720" s="68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60"/>
      <c r="O720" s="64"/>
    </row>
    <row r="721" spans="1:15" ht="15.75" customHeight="1">
      <c r="A721" s="68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60"/>
      <c r="O721" s="64"/>
    </row>
    <row r="722" spans="1:15" ht="15.75" customHeight="1">
      <c r="A722" s="68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60"/>
      <c r="O722" s="64"/>
    </row>
    <row r="723" spans="1:15" ht="15.75" customHeight="1">
      <c r="A723" s="68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60"/>
      <c r="O723" s="64"/>
    </row>
    <row r="724" spans="1:15" ht="15.75" customHeight="1">
      <c r="A724" s="68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60"/>
      <c r="O724" s="64"/>
    </row>
    <row r="725" spans="1:15" ht="15.75" customHeight="1">
      <c r="A725" s="68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60"/>
      <c r="O725" s="64"/>
    </row>
    <row r="726" spans="1:15" ht="15.75" customHeight="1">
      <c r="A726" s="68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60"/>
      <c r="O726" s="64"/>
    </row>
    <row r="727" spans="1:15" ht="15.75" customHeight="1">
      <c r="A727" s="68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60"/>
      <c r="O727" s="64"/>
    </row>
    <row r="728" spans="1:15" ht="15.75" customHeight="1">
      <c r="A728" s="68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60"/>
      <c r="O728" s="64"/>
    </row>
    <row r="729" spans="1:15" ht="15.75" customHeight="1">
      <c r="A729" s="68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60"/>
      <c r="O729" s="64"/>
    </row>
    <row r="730" spans="1:15" ht="15.75" customHeight="1">
      <c r="A730" s="68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60"/>
      <c r="O730" s="64"/>
    </row>
    <row r="731" spans="1:15" ht="15.75" customHeight="1">
      <c r="A731" s="68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60"/>
      <c r="O731" s="64"/>
    </row>
    <row r="732" spans="1:15" ht="15.75" customHeight="1">
      <c r="A732" s="68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60"/>
      <c r="O732" s="64"/>
    </row>
    <row r="733" spans="1:15" ht="15.75" customHeight="1">
      <c r="A733" s="68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60"/>
      <c r="O733" s="64"/>
    </row>
    <row r="734" spans="1:15" ht="15.75" customHeight="1">
      <c r="A734" s="68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60"/>
      <c r="O734" s="64"/>
    </row>
    <row r="735" spans="1:15" ht="15.75" customHeight="1">
      <c r="A735" s="68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60"/>
      <c r="O735" s="64"/>
    </row>
    <row r="736" spans="1:15" ht="15.75" customHeight="1">
      <c r="A736" s="68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60"/>
      <c r="O736" s="64"/>
    </row>
    <row r="737" spans="1:15" ht="15.75" customHeight="1">
      <c r="A737" s="68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60"/>
      <c r="O737" s="64"/>
    </row>
    <row r="738" spans="1:15" ht="15.75" customHeight="1">
      <c r="A738" s="68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60"/>
      <c r="O738" s="64"/>
    </row>
    <row r="739" spans="1:15" ht="15.75" customHeight="1">
      <c r="A739" s="68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60"/>
      <c r="O739" s="64"/>
    </row>
    <row r="740" spans="1:15" ht="15.75" customHeight="1">
      <c r="A740" s="68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60"/>
      <c r="O740" s="64"/>
    </row>
    <row r="741" spans="1:15" ht="15.75" customHeight="1">
      <c r="A741" s="68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60"/>
      <c r="O741" s="64"/>
    </row>
    <row r="742" spans="1:15" ht="15.75" customHeight="1">
      <c r="A742" s="68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60"/>
      <c r="O742" s="64"/>
    </row>
    <row r="743" spans="1:15" ht="15.75" customHeight="1">
      <c r="A743" s="68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60"/>
      <c r="O743" s="64"/>
    </row>
    <row r="744" spans="1:15" ht="15.75" customHeight="1">
      <c r="A744" s="68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60"/>
      <c r="O744" s="64"/>
    </row>
    <row r="745" spans="1:15" ht="15.75" customHeight="1">
      <c r="A745" s="68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60"/>
      <c r="O745" s="64"/>
    </row>
    <row r="746" spans="1:15" ht="15.75" customHeight="1">
      <c r="A746" s="68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60"/>
      <c r="O746" s="64"/>
    </row>
    <row r="747" spans="1:15" ht="15.75" customHeight="1">
      <c r="A747" s="68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60"/>
      <c r="O747" s="64"/>
    </row>
    <row r="748" spans="1:15" ht="15.75" customHeight="1">
      <c r="A748" s="68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60"/>
      <c r="O748" s="64"/>
    </row>
    <row r="749" spans="1:15" ht="15.75" customHeight="1">
      <c r="A749" s="68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60"/>
      <c r="O749" s="64"/>
    </row>
    <row r="750" spans="1:15" ht="15.75" customHeight="1">
      <c r="A750" s="68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60"/>
      <c r="O750" s="64"/>
    </row>
    <row r="751" spans="1:15" ht="15.75" customHeight="1">
      <c r="A751" s="68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60"/>
      <c r="O751" s="64"/>
    </row>
    <row r="752" spans="1:15" ht="15.75" customHeight="1">
      <c r="A752" s="68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60"/>
      <c r="O752" s="64"/>
    </row>
    <row r="753" spans="1:15" ht="15.75" customHeight="1">
      <c r="A753" s="68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60"/>
      <c r="O753" s="64"/>
    </row>
    <row r="754" spans="1:15" ht="15.75" customHeight="1">
      <c r="A754" s="68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60"/>
      <c r="O754" s="64"/>
    </row>
    <row r="755" spans="1:15" ht="15.75" customHeight="1">
      <c r="A755" s="68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60"/>
      <c r="O755" s="64"/>
    </row>
    <row r="756" spans="1:15" ht="15.75" customHeight="1">
      <c r="A756" s="68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60"/>
      <c r="O756" s="64"/>
    </row>
    <row r="757" spans="1:15" ht="15.75" customHeight="1">
      <c r="A757" s="68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60"/>
      <c r="O757" s="64"/>
    </row>
    <row r="758" spans="1:15" ht="15.75" customHeight="1">
      <c r="A758" s="68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60"/>
      <c r="O758" s="64"/>
    </row>
    <row r="759" spans="1:15" ht="15.75" customHeight="1">
      <c r="A759" s="68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60"/>
      <c r="O759" s="64"/>
    </row>
    <row r="760" spans="1:15" ht="15.75" customHeight="1">
      <c r="A760" s="68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60"/>
      <c r="O760" s="64"/>
    </row>
    <row r="761" spans="1:15" ht="15.75" customHeight="1">
      <c r="A761" s="68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60"/>
      <c r="O761" s="64"/>
    </row>
    <row r="762" spans="1:15" ht="15.75" customHeight="1">
      <c r="A762" s="68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60"/>
      <c r="O762" s="64"/>
    </row>
    <row r="763" spans="1:15" ht="15.75" customHeight="1">
      <c r="A763" s="68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60"/>
      <c r="O763" s="64"/>
    </row>
    <row r="764" spans="1:15" ht="15.75" customHeight="1">
      <c r="A764" s="68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60"/>
      <c r="O764" s="64"/>
    </row>
    <row r="765" spans="1:15" ht="15.75" customHeight="1">
      <c r="A765" s="68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60"/>
      <c r="O765" s="64"/>
    </row>
    <row r="766" spans="1:15" ht="15.75" customHeight="1">
      <c r="A766" s="68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60"/>
      <c r="O766" s="64"/>
    </row>
    <row r="767" spans="1:15" ht="15.75" customHeight="1">
      <c r="A767" s="68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60"/>
      <c r="O767" s="64"/>
    </row>
    <row r="768" spans="1:15" ht="15.75" customHeight="1">
      <c r="A768" s="68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60"/>
      <c r="O768" s="64"/>
    </row>
    <row r="769" spans="1:15" ht="15.75" customHeight="1">
      <c r="A769" s="68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60"/>
      <c r="O769" s="64"/>
    </row>
    <row r="770" spans="1:15" ht="15.75" customHeight="1">
      <c r="A770" s="68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60"/>
      <c r="O770" s="64"/>
    </row>
    <row r="771" spans="1:15" ht="15.75" customHeight="1">
      <c r="A771" s="68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60"/>
      <c r="O771" s="64"/>
    </row>
    <row r="772" spans="1:15" ht="15.75" customHeight="1">
      <c r="A772" s="68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60"/>
      <c r="O772" s="64"/>
    </row>
    <row r="773" spans="1:15" ht="15.75" customHeight="1">
      <c r="A773" s="68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60"/>
      <c r="O773" s="64"/>
    </row>
    <row r="774" spans="1:15" ht="15.75" customHeight="1">
      <c r="A774" s="68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60"/>
      <c r="O774" s="64"/>
    </row>
    <row r="775" spans="1:15" ht="15.75" customHeight="1">
      <c r="A775" s="68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60"/>
      <c r="O775" s="64"/>
    </row>
    <row r="776" spans="1:15" ht="15.75" customHeight="1">
      <c r="A776" s="68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60"/>
      <c r="O776" s="64"/>
    </row>
    <row r="777" spans="1:15" ht="15.75" customHeight="1">
      <c r="A777" s="68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60"/>
      <c r="O777" s="64"/>
    </row>
    <row r="778" spans="1:15" ht="15.75" customHeight="1">
      <c r="A778" s="68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60"/>
      <c r="O778" s="64"/>
    </row>
    <row r="779" spans="1:15" ht="15.75" customHeight="1">
      <c r="A779" s="68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60"/>
      <c r="O779" s="64"/>
    </row>
    <row r="780" spans="1:15" ht="15.75" customHeight="1">
      <c r="A780" s="68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60"/>
      <c r="O780" s="64"/>
    </row>
    <row r="781" spans="1:15" ht="15.75" customHeight="1">
      <c r="A781" s="68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60"/>
      <c r="O781" s="64"/>
    </row>
    <row r="782" spans="1:15" ht="15.75" customHeight="1">
      <c r="A782" s="68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60"/>
      <c r="O782" s="64"/>
    </row>
    <row r="783" spans="1:15" ht="15.75" customHeight="1">
      <c r="A783" s="68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60"/>
      <c r="O783" s="64"/>
    </row>
    <row r="784" spans="1:15" ht="15.75" customHeight="1">
      <c r="A784" s="68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60"/>
      <c r="O784" s="64"/>
    </row>
    <row r="785" spans="1:15" ht="15.75" customHeight="1">
      <c r="A785" s="68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60"/>
      <c r="O785" s="64"/>
    </row>
    <row r="786" spans="1:15" ht="15.75" customHeight="1">
      <c r="A786" s="68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60"/>
      <c r="O786" s="64"/>
    </row>
    <row r="787" spans="1:15" ht="15.75" customHeight="1">
      <c r="A787" s="68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60"/>
      <c r="O787" s="64"/>
    </row>
    <row r="788" spans="1:15" ht="15.75" customHeight="1">
      <c r="A788" s="68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60"/>
      <c r="O788" s="64"/>
    </row>
    <row r="789" spans="1:15" ht="15.75" customHeight="1">
      <c r="A789" s="68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60"/>
      <c r="O789" s="64"/>
    </row>
    <row r="790" spans="1:15" ht="15.75" customHeight="1">
      <c r="A790" s="68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60"/>
      <c r="O790" s="64"/>
    </row>
    <row r="791" spans="1:15" ht="15.75" customHeight="1">
      <c r="A791" s="68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60"/>
      <c r="O791" s="64"/>
    </row>
    <row r="792" spans="1:15" ht="15.75" customHeight="1">
      <c r="A792" s="68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60"/>
      <c r="O792" s="64"/>
    </row>
    <row r="793" spans="1:15" ht="15.75" customHeight="1">
      <c r="A793" s="68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60"/>
      <c r="O793" s="64"/>
    </row>
    <row r="794" spans="1:15" ht="15.75" customHeight="1">
      <c r="A794" s="68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60"/>
      <c r="O794" s="64"/>
    </row>
    <row r="795" spans="1:15" ht="15.75" customHeight="1">
      <c r="A795" s="68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60"/>
      <c r="O795" s="64"/>
    </row>
    <row r="796" spans="1:15" ht="15.75" customHeight="1">
      <c r="A796" s="68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60"/>
      <c r="O796" s="64"/>
    </row>
    <row r="797" spans="1:15" ht="15.75" customHeight="1">
      <c r="A797" s="68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60"/>
      <c r="O797" s="64"/>
    </row>
    <row r="798" spans="1:15" ht="15.75" customHeight="1">
      <c r="A798" s="68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60"/>
      <c r="O798" s="64"/>
    </row>
    <row r="799" spans="1:15" ht="15.75" customHeight="1">
      <c r="A799" s="68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60"/>
      <c r="O799" s="64"/>
    </row>
    <row r="800" spans="1:15" ht="15.75" customHeight="1">
      <c r="A800" s="68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60"/>
      <c r="O800" s="64"/>
    </row>
    <row r="801" spans="1:15" ht="15.75" customHeight="1">
      <c r="A801" s="68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60"/>
      <c r="O801" s="64"/>
    </row>
    <row r="802" spans="1:15" ht="15.75" customHeight="1">
      <c r="A802" s="68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60"/>
      <c r="O802" s="64"/>
    </row>
    <row r="803" spans="1:15" ht="15.75" customHeight="1">
      <c r="A803" s="68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60"/>
      <c r="O803" s="64"/>
    </row>
    <row r="804" spans="1:15" ht="15.75" customHeight="1">
      <c r="A804" s="68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60"/>
      <c r="O804" s="64"/>
    </row>
    <row r="805" spans="1:15" ht="15.75" customHeight="1">
      <c r="A805" s="68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60"/>
      <c r="O805" s="64"/>
    </row>
    <row r="806" spans="1:15" ht="15.75" customHeight="1">
      <c r="A806" s="68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60"/>
      <c r="O806" s="64"/>
    </row>
    <row r="807" spans="1:15" ht="15.75" customHeight="1">
      <c r="A807" s="68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60"/>
      <c r="O807" s="64"/>
    </row>
    <row r="808" spans="1:15" ht="15.75" customHeight="1">
      <c r="A808" s="68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60"/>
      <c r="O808" s="64"/>
    </row>
    <row r="809" spans="1:15" ht="15.75" customHeight="1">
      <c r="A809" s="68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60"/>
      <c r="O809" s="64"/>
    </row>
    <row r="810" spans="1:15" ht="15.75" customHeight="1">
      <c r="A810" s="68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60"/>
      <c r="O810" s="64"/>
    </row>
    <row r="811" spans="1:15" ht="15.75" customHeight="1">
      <c r="A811" s="68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60"/>
      <c r="O811" s="64"/>
    </row>
    <row r="812" spans="1:15" ht="15.75" customHeight="1">
      <c r="A812" s="68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60"/>
      <c r="O812" s="64"/>
    </row>
    <row r="813" spans="1:15" ht="15.75" customHeight="1">
      <c r="A813" s="68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60"/>
      <c r="O813" s="64"/>
    </row>
    <row r="814" spans="1:15" ht="15.75" customHeight="1">
      <c r="A814" s="68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60"/>
      <c r="O814" s="64"/>
    </row>
    <row r="815" spans="1:15" ht="15.75" customHeight="1">
      <c r="A815" s="68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60"/>
      <c r="O815" s="64"/>
    </row>
    <row r="816" spans="1:15" ht="15.75" customHeight="1">
      <c r="A816" s="68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60"/>
      <c r="O816" s="64"/>
    </row>
    <row r="817" spans="1:15" ht="15.75" customHeight="1">
      <c r="A817" s="68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60"/>
      <c r="O817" s="64"/>
    </row>
    <row r="818" spans="1:15" ht="15.75" customHeight="1">
      <c r="A818" s="68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60"/>
      <c r="O818" s="64"/>
    </row>
    <row r="819" spans="1:15" ht="15.75" customHeight="1">
      <c r="A819" s="68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60"/>
      <c r="O819" s="64"/>
    </row>
    <row r="820" spans="1:15" ht="15.75" customHeight="1">
      <c r="A820" s="68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60"/>
      <c r="O820" s="64"/>
    </row>
    <row r="821" spans="1:15" ht="15.75" customHeight="1">
      <c r="A821" s="68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60"/>
      <c r="O821" s="64"/>
    </row>
    <row r="822" spans="1:15" ht="15.75" customHeight="1">
      <c r="A822" s="68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60"/>
      <c r="O822" s="64"/>
    </row>
    <row r="823" spans="1:15" ht="15.75" customHeight="1">
      <c r="A823" s="68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60"/>
      <c r="O823" s="64"/>
    </row>
    <row r="824" spans="1:15" ht="15.75" customHeight="1">
      <c r="A824" s="68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60"/>
      <c r="O824" s="64"/>
    </row>
    <row r="825" spans="1:15" ht="15.75" customHeight="1">
      <c r="A825" s="68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60"/>
      <c r="O825" s="64"/>
    </row>
    <row r="826" spans="1:15" ht="15.75" customHeight="1">
      <c r="A826" s="68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60"/>
      <c r="O826" s="64"/>
    </row>
    <row r="827" spans="1:15" ht="15.75" customHeight="1">
      <c r="A827" s="68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60"/>
      <c r="O827" s="64"/>
    </row>
    <row r="828" spans="1:15" ht="15.75" customHeight="1">
      <c r="A828" s="68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60"/>
      <c r="O828" s="64"/>
    </row>
    <row r="829" spans="1:15" ht="15.75" customHeight="1">
      <c r="A829" s="68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60"/>
      <c r="O829" s="64"/>
    </row>
    <row r="830" spans="1:15" ht="15.75" customHeight="1">
      <c r="A830" s="68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60"/>
      <c r="O830" s="64"/>
    </row>
    <row r="831" spans="1:15" ht="15.75" customHeight="1">
      <c r="A831" s="68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60"/>
      <c r="O831" s="64"/>
    </row>
    <row r="832" spans="1:15" ht="15.75" customHeight="1">
      <c r="A832" s="68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60"/>
      <c r="O832" s="64"/>
    </row>
    <row r="833" spans="1:15" ht="15.75" customHeight="1">
      <c r="A833" s="68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60"/>
      <c r="O833" s="64"/>
    </row>
    <row r="834" spans="1:15" ht="15.75" customHeight="1">
      <c r="A834" s="68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60"/>
      <c r="O834" s="64"/>
    </row>
    <row r="835" spans="1:15" ht="15.75" customHeight="1">
      <c r="A835" s="68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60"/>
      <c r="O835" s="64"/>
    </row>
    <row r="836" spans="1:15" ht="15.75" customHeight="1">
      <c r="A836" s="68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60"/>
      <c r="O836" s="64"/>
    </row>
    <row r="837" spans="1:15" ht="15.75" customHeight="1">
      <c r="A837" s="68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60"/>
      <c r="O837" s="64"/>
    </row>
    <row r="838" spans="1:15" ht="15.75" customHeight="1">
      <c r="A838" s="68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60"/>
      <c r="O838" s="64"/>
    </row>
    <row r="839" spans="1:15" ht="15.75" customHeight="1">
      <c r="A839" s="68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60"/>
      <c r="O839" s="64"/>
    </row>
    <row r="840" spans="1:15" ht="15.75" customHeight="1">
      <c r="A840" s="68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60"/>
      <c r="O840" s="64"/>
    </row>
    <row r="841" spans="1:15" ht="15.75" customHeight="1">
      <c r="A841" s="68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60"/>
      <c r="O841" s="64"/>
    </row>
    <row r="842" spans="1:15" ht="15.75" customHeight="1">
      <c r="A842" s="68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60"/>
      <c r="O842" s="64"/>
    </row>
    <row r="843" spans="1:15" ht="15.75" customHeight="1">
      <c r="A843" s="68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60"/>
      <c r="O843" s="64"/>
    </row>
    <row r="844" spans="1:15" ht="15.75" customHeight="1">
      <c r="A844" s="68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60"/>
      <c r="O844" s="64"/>
    </row>
    <row r="845" spans="1:15" ht="15.75" customHeight="1">
      <c r="A845" s="68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60"/>
      <c r="O845" s="64"/>
    </row>
    <row r="846" spans="1:15" ht="15.75" customHeight="1">
      <c r="A846" s="68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60"/>
      <c r="O846" s="64"/>
    </row>
    <row r="847" spans="1:15" ht="15.75" customHeight="1">
      <c r="A847" s="68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60"/>
      <c r="O847" s="64"/>
    </row>
    <row r="848" spans="1:15" ht="15.75" customHeight="1">
      <c r="A848" s="68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60"/>
      <c r="O848" s="64"/>
    </row>
    <row r="849" spans="1:15" ht="15.75" customHeight="1">
      <c r="A849" s="68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60"/>
      <c r="O849" s="64"/>
    </row>
    <row r="850" spans="1:15" ht="15.75" customHeight="1">
      <c r="A850" s="68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60"/>
      <c r="O850" s="64"/>
    </row>
    <row r="851" spans="1:15" ht="15.75" customHeight="1">
      <c r="A851" s="68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60"/>
      <c r="O851" s="64"/>
    </row>
    <row r="852" spans="1:15" ht="15.75" customHeight="1">
      <c r="A852" s="68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60"/>
      <c r="O852" s="64"/>
    </row>
    <row r="853" spans="1:15" ht="15.75" customHeight="1">
      <c r="A853" s="68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60"/>
      <c r="O853" s="64"/>
    </row>
    <row r="854" spans="1:15" ht="15.75" customHeight="1">
      <c r="A854" s="68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60"/>
      <c r="O854" s="64"/>
    </row>
    <row r="855" spans="1:15" ht="15.75" customHeight="1">
      <c r="A855" s="68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60"/>
      <c r="O855" s="64"/>
    </row>
    <row r="856" spans="1:15" ht="15.75" customHeight="1">
      <c r="A856" s="68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60"/>
      <c r="O856" s="64"/>
    </row>
    <row r="857" spans="1:15" ht="15.75" customHeight="1">
      <c r="A857" s="68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60"/>
      <c r="O857" s="64"/>
    </row>
    <row r="858" spans="1:15" ht="15.75" customHeight="1">
      <c r="A858" s="68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60"/>
      <c r="O858" s="64"/>
    </row>
    <row r="859" spans="1:15" ht="15.75" customHeight="1">
      <c r="A859" s="68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60"/>
      <c r="O859" s="64"/>
    </row>
    <row r="860" spans="1:15" ht="15.75" customHeight="1">
      <c r="A860" s="68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60"/>
      <c r="O860" s="64"/>
    </row>
    <row r="861" spans="1:15" ht="15.75" customHeight="1">
      <c r="A861" s="68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60"/>
      <c r="O861" s="64"/>
    </row>
    <row r="862" spans="1:15" ht="15.75" customHeight="1">
      <c r="A862" s="68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60"/>
      <c r="O862" s="64"/>
    </row>
    <row r="863" spans="1:15" ht="15.75" customHeight="1">
      <c r="A863" s="68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60"/>
      <c r="O863" s="64"/>
    </row>
    <row r="864" spans="1:15" ht="15.75" customHeight="1">
      <c r="A864" s="68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60"/>
      <c r="O864" s="64"/>
    </row>
    <row r="865" spans="1:15" ht="15.75" customHeight="1">
      <c r="A865" s="68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60"/>
      <c r="O865" s="64"/>
    </row>
    <row r="866" spans="1:15" ht="15.75" customHeight="1">
      <c r="A866" s="68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60"/>
      <c r="O866" s="64"/>
    </row>
    <row r="867" spans="1:15" ht="15.75" customHeight="1">
      <c r="A867" s="68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60"/>
      <c r="O867" s="64"/>
    </row>
    <row r="868" spans="1:15" ht="15.75" customHeight="1">
      <c r="A868" s="68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60"/>
      <c r="O868" s="64"/>
    </row>
    <row r="869" spans="1:15" ht="15.75" customHeight="1">
      <c r="A869" s="68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60"/>
      <c r="O869" s="64"/>
    </row>
    <row r="870" spans="1:15" ht="15.75" customHeight="1">
      <c r="A870" s="68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60"/>
      <c r="O870" s="64"/>
    </row>
    <row r="871" spans="1:15" ht="15.75" customHeight="1">
      <c r="A871" s="68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60"/>
      <c r="O871" s="64"/>
    </row>
    <row r="872" spans="1:15" ht="15.75" customHeight="1">
      <c r="A872" s="68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60"/>
      <c r="O872" s="64"/>
    </row>
    <row r="873" spans="1:15" ht="15.75" customHeight="1">
      <c r="A873" s="68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60"/>
      <c r="O873" s="64"/>
    </row>
    <row r="874" spans="1:15" ht="15.75" customHeight="1">
      <c r="A874" s="68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60"/>
      <c r="O874" s="64"/>
    </row>
    <row r="875" spans="1:15" ht="15.75" customHeight="1">
      <c r="A875" s="68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60"/>
      <c r="O875" s="64"/>
    </row>
    <row r="876" spans="1:15" ht="15.75" customHeight="1">
      <c r="A876" s="68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60"/>
      <c r="O876" s="64"/>
    </row>
    <row r="877" spans="1:15" ht="15.75" customHeight="1">
      <c r="A877" s="68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60"/>
      <c r="O877" s="64"/>
    </row>
    <row r="878" spans="1:15" ht="15.75" customHeight="1">
      <c r="A878" s="68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60"/>
      <c r="O878" s="64"/>
    </row>
    <row r="879" spans="1:15" ht="15.75" customHeight="1">
      <c r="A879" s="68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60"/>
      <c r="O879" s="64"/>
    </row>
    <row r="880" spans="1:15" ht="15.75" customHeight="1">
      <c r="A880" s="68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60"/>
      <c r="O880" s="64"/>
    </row>
    <row r="881" spans="1:15" ht="15.75" customHeight="1">
      <c r="A881" s="68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60"/>
      <c r="O881" s="64"/>
    </row>
    <row r="882" spans="1:15" ht="15.75" customHeight="1">
      <c r="A882" s="68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60"/>
      <c r="O882" s="64"/>
    </row>
    <row r="883" spans="1:15" ht="15.75" customHeight="1">
      <c r="A883" s="68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60"/>
      <c r="O883" s="64"/>
    </row>
    <row r="884" spans="1:15" ht="15.75" customHeight="1">
      <c r="A884" s="68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60"/>
      <c r="O884" s="64"/>
    </row>
    <row r="885" spans="1:15" ht="15.75" customHeight="1">
      <c r="A885" s="68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60"/>
      <c r="O885" s="64"/>
    </row>
    <row r="886" spans="1:15" ht="15.75" customHeight="1">
      <c r="A886" s="68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60"/>
      <c r="O886" s="64"/>
    </row>
    <row r="887" spans="1:15" ht="15.75" customHeight="1">
      <c r="A887" s="68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60"/>
      <c r="O887" s="64"/>
    </row>
    <row r="888" spans="1:15" ht="15.75" customHeight="1">
      <c r="A888" s="68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60"/>
      <c r="O888" s="64"/>
    </row>
    <row r="889" spans="1:15" ht="15.75" customHeight="1">
      <c r="A889" s="68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60"/>
      <c r="O889" s="64"/>
    </row>
    <row r="890" spans="1:15" ht="15.75" customHeight="1">
      <c r="A890" s="68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60"/>
      <c r="O890" s="64"/>
    </row>
    <row r="891" spans="1:15" ht="15.75" customHeight="1">
      <c r="A891" s="68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60"/>
      <c r="O891" s="64"/>
    </row>
    <row r="892" spans="1:15" ht="15.75" customHeight="1">
      <c r="A892" s="68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60"/>
      <c r="O892" s="64"/>
    </row>
    <row r="893" spans="1:15" ht="15.75" customHeight="1">
      <c r="A893" s="68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60"/>
      <c r="O893" s="64"/>
    </row>
    <row r="894" spans="1:15" ht="15.75" customHeight="1">
      <c r="A894" s="68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60"/>
      <c r="O894" s="64"/>
    </row>
    <row r="895" spans="1:15" ht="15.75" customHeight="1">
      <c r="A895" s="68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60"/>
      <c r="O895" s="64"/>
    </row>
    <row r="896" spans="1:15" ht="15.75" customHeight="1">
      <c r="A896" s="68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60"/>
      <c r="O896" s="64"/>
    </row>
    <row r="897" spans="1:15" ht="15.75" customHeight="1">
      <c r="A897" s="68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60"/>
      <c r="O897" s="64"/>
    </row>
    <row r="898" spans="1:15" ht="15.75" customHeight="1">
      <c r="A898" s="68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60"/>
      <c r="O898" s="64"/>
    </row>
    <row r="899" spans="1:15" ht="15.75" customHeight="1">
      <c r="A899" s="68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60"/>
      <c r="O899" s="64"/>
    </row>
    <row r="900" spans="1:15" ht="15.75" customHeight="1">
      <c r="A900" s="68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60"/>
      <c r="O900" s="64"/>
    </row>
    <row r="901" spans="1:15" ht="15.75" customHeight="1">
      <c r="A901" s="68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60"/>
      <c r="O901" s="64"/>
    </row>
    <row r="902" spans="1:15" ht="15.75" customHeight="1">
      <c r="A902" s="68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60"/>
      <c r="O902" s="64"/>
    </row>
    <row r="903" spans="1:15" ht="15.75" customHeight="1">
      <c r="A903" s="68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60"/>
      <c r="O903" s="64"/>
    </row>
    <row r="904" spans="1:15" ht="15.75" customHeight="1">
      <c r="A904" s="68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60"/>
      <c r="O904" s="64"/>
    </row>
    <row r="905" spans="1:15" ht="15.75" customHeight="1">
      <c r="A905" s="68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60"/>
      <c r="O905" s="64"/>
    </row>
    <row r="906" spans="1:15" ht="15.75" customHeight="1">
      <c r="A906" s="68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60"/>
      <c r="O906" s="64"/>
    </row>
    <row r="907" spans="1:15" ht="15.75" customHeight="1">
      <c r="A907" s="68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60"/>
      <c r="O907" s="64"/>
    </row>
    <row r="908" spans="1:15" ht="15.75" customHeight="1">
      <c r="A908" s="68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60"/>
      <c r="O908" s="64"/>
    </row>
    <row r="909" spans="1:15" ht="15.75" customHeight="1">
      <c r="A909" s="68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60"/>
      <c r="O909" s="64"/>
    </row>
    <row r="910" spans="1:15" ht="15.75" customHeight="1">
      <c r="A910" s="68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60"/>
      <c r="O910" s="64"/>
    </row>
    <row r="911" spans="1:15" ht="15.75" customHeight="1">
      <c r="A911" s="68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60"/>
      <c r="O911" s="64"/>
    </row>
    <row r="912" spans="1:15" ht="15.75" customHeight="1">
      <c r="A912" s="68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60"/>
      <c r="O912" s="64"/>
    </row>
    <row r="913" spans="1:15" ht="15.75" customHeight="1">
      <c r="A913" s="68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60"/>
      <c r="O913" s="64"/>
    </row>
    <row r="914" spans="1:15" ht="15.75" customHeight="1">
      <c r="A914" s="68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60"/>
      <c r="O914" s="64"/>
    </row>
    <row r="915" spans="1:15" ht="15.75" customHeight="1">
      <c r="A915" s="68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60"/>
      <c r="O915" s="64"/>
    </row>
    <row r="916" spans="1:15" ht="15.75" customHeight="1">
      <c r="A916" s="68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60"/>
      <c r="O916" s="64"/>
    </row>
    <row r="917" spans="1:15" ht="15.75" customHeight="1">
      <c r="A917" s="68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60"/>
      <c r="O917" s="64"/>
    </row>
    <row r="918" spans="1:15" ht="15.75" customHeight="1">
      <c r="A918" s="68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60"/>
      <c r="O918" s="64"/>
    </row>
    <row r="919" spans="1:15" ht="15.75" customHeight="1">
      <c r="A919" s="68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60"/>
      <c r="O919" s="64"/>
    </row>
    <row r="920" spans="1:15" ht="15.75" customHeight="1">
      <c r="A920" s="68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60"/>
      <c r="O920" s="64"/>
    </row>
    <row r="921" spans="1:15" ht="15.75" customHeight="1">
      <c r="A921" s="68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60"/>
      <c r="O921" s="64"/>
    </row>
    <row r="922" spans="1:15" ht="15.75" customHeight="1">
      <c r="A922" s="68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60"/>
      <c r="O922" s="64"/>
    </row>
    <row r="923" spans="1:15" ht="15.75" customHeight="1">
      <c r="A923" s="68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60"/>
      <c r="O923" s="64"/>
    </row>
    <row r="924" spans="1:15" ht="15.75" customHeight="1">
      <c r="A924" s="68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60"/>
      <c r="O924" s="64"/>
    </row>
    <row r="925" spans="1:15" ht="15.75" customHeight="1">
      <c r="A925" s="68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60"/>
      <c r="O925" s="64"/>
    </row>
    <row r="926" spans="1:15" ht="15.75" customHeight="1">
      <c r="A926" s="68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60"/>
      <c r="O926" s="64"/>
    </row>
    <row r="927" spans="1:15" ht="15.75" customHeight="1">
      <c r="A927" s="68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60"/>
      <c r="O927" s="64"/>
    </row>
    <row r="928" spans="1:15" ht="15.75" customHeight="1">
      <c r="A928" s="68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60"/>
      <c r="O928" s="64"/>
    </row>
    <row r="929" spans="1:15" ht="15.75" customHeight="1">
      <c r="A929" s="68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60"/>
      <c r="O929" s="64"/>
    </row>
    <row r="930" spans="1:15" ht="15.75" customHeight="1">
      <c r="A930" s="68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60"/>
      <c r="O930" s="64"/>
    </row>
    <row r="931" spans="1:15" ht="15.75" customHeight="1">
      <c r="A931" s="68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60"/>
      <c r="O931" s="64"/>
    </row>
    <row r="932" spans="1:15" ht="15.75" customHeight="1">
      <c r="A932" s="68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60"/>
      <c r="O932" s="64"/>
    </row>
    <row r="933" spans="1:15" ht="15.75" customHeight="1">
      <c r="A933" s="68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60"/>
      <c r="O933" s="64"/>
    </row>
    <row r="934" spans="1:15" ht="15.75" customHeight="1">
      <c r="A934" s="68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60"/>
      <c r="O934" s="64"/>
    </row>
    <row r="935" spans="1:15" ht="15.75" customHeight="1">
      <c r="A935" s="68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60"/>
      <c r="O935" s="64"/>
    </row>
    <row r="936" spans="1:15" ht="15.75" customHeight="1">
      <c r="A936" s="68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60"/>
      <c r="O936" s="64"/>
    </row>
    <row r="937" spans="1:15" ht="15.75" customHeight="1">
      <c r="A937" s="68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60"/>
      <c r="O937" s="64"/>
    </row>
    <row r="938" spans="1:15" ht="15.75" customHeight="1">
      <c r="A938" s="68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60"/>
      <c r="O938" s="64"/>
    </row>
    <row r="939" spans="1:15" ht="15.75" customHeight="1">
      <c r="A939" s="68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60"/>
      <c r="O939" s="64"/>
    </row>
    <row r="940" spans="1:15" ht="15.75" customHeight="1">
      <c r="A940" s="68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60"/>
      <c r="O940" s="64"/>
    </row>
    <row r="941" spans="1:15" ht="15.75" customHeight="1">
      <c r="A941" s="68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60"/>
      <c r="O941" s="64"/>
    </row>
    <row r="942" spans="1:15" ht="15.75" customHeight="1">
      <c r="A942" s="68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60"/>
      <c r="O942" s="64"/>
    </row>
    <row r="943" spans="1:15" ht="15.75" customHeight="1">
      <c r="A943" s="68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60"/>
      <c r="O943" s="64"/>
    </row>
    <row r="944" spans="1:15" ht="15.75" customHeight="1">
      <c r="A944" s="68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60"/>
      <c r="O944" s="64"/>
    </row>
    <row r="945" spans="1:15" ht="15.75" customHeight="1">
      <c r="A945" s="68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60"/>
      <c r="O945" s="64"/>
    </row>
    <row r="946" spans="1:15" ht="15.75" customHeight="1">
      <c r="A946" s="68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60"/>
      <c r="O946" s="64"/>
    </row>
    <row r="947" spans="1:15" ht="15.75" customHeight="1">
      <c r="A947" s="68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60"/>
      <c r="O947" s="64"/>
    </row>
    <row r="948" spans="1:15" ht="15.75" customHeight="1">
      <c r="A948" s="68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60"/>
      <c r="O948" s="64"/>
    </row>
    <row r="949" spans="1:15" ht="15.75" customHeight="1">
      <c r="A949" s="68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60"/>
      <c r="O949" s="64"/>
    </row>
    <row r="950" spans="1:15" ht="15.75" customHeight="1">
      <c r="A950" s="68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60"/>
      <c r="O950" s="64"/>
    </row>
    <row r="951" spans="1:15" ht="15.75" customHeight="1">
      <c r="A951" s="68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60"/>
      <c r="O951" s="64"/>
    </row>
    <row r="952" spans="1:15" ht="15.75" customHeight="1">
      <c r="A952" s="68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60"/>
      <c r="O952" s="64"/>
    </row>
    <row r="953" spans="1:15" ht="15.75" customHeight="1">
      <c r="A953" s="68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60"/>
      <c r="O953" s="64"/>
    </row>
    <row r="954" spans="1:15" ht="15.75" customHeight="1">
      <c r="A954" s="68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60"/>
      <c r="O954" s="64"/>
    </row>
    <row r="955" spans="1:15" ht="15.75" customHeight="1">
      <c r="A955" s="68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60"/>
      <c r="O955" s="64"/>
    </row>
    <row r="956" spans="1:15" ht="15.75" customHeight="1">
      <c r="A956" s="68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60"/>
      <c r="O956" s="64"/>
    </row>
    <row r="957" spans="1:15" ht="15.75" customHeight="1">
      <c r="A957" s="68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60"/>
      <c r="O957" s="64"/>
    </row>
    <row r="958" spans="1:15" ht="15.75" customHeight="1">
      <c r="A958" s="68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60"/>
      <c r="O958" s="64"/>
    </row>
    <row r="959" spans="1:15" ht="15.75" customHeight="1">
      <c r="A959" s="68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60"/>
      <c r="O959" s="64"/>
    </row>
    <row r="960" spans="1:15" ht="15.75" customHeight="1">
      <c r="A960" s="68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60"/>
      <c r="O960" s="64"/>
    </row>
    <row r="961" spans="1:15" ht="15.75" customHeight="1">
      <c r="A961" s="68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60"/>
      <c r="O961" s="64"/>
    </row>
    <row r="962" spans="1:15" ht="15.75" customHeight="1">
      <c r="A962" s="68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60"/>
      <c r="O962" s="64"/>
    </row>
    <row r="963" spans="1:15" ht="15.75" customHeight="1">
      <c r="A963" s="68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60"/>
      <c r="O963" s="64"/>
    </row>
    <row r="964" spans="1:15" ht="15.75" customHeight="1">
      <c r="A964" s="68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60"/>
      <c r="O964" s="64"/>
    </row>
    <row r="965" spans="1:15" ht="15.75" customHeight="1">
      <c r="A965" s="68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60"/>
      <c r="O965" s="64"/>
    </row>
    <row r="966" spans="1:15" ht="15.75" customHeight="1">
      <c r="A966" s="68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60"/>
      <c r="O966" s="64"/>
    </row>
    <row r="967" spans="1:15" ht="15.75" customHeight="1">
      <c r="A967" s="68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60"/>
      <c r="O967" s="64"/>
    </row>
    <row r="968" spans="1:15" ht="15.75" customHeight="1">
      <c r="A968" s="68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60"/>
      <c r="O968" s="64"/>
    </row>
    <row r="969" spans="1:15" ht="15.75" customHeight="1">
      <c r="A969" s="68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60"/>
      <c r="O969" s="64"/>
    </row>
    <row r="970" spans="1:15" ht="15.75" customHeight="1">
      <c r="A970" s="68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60"/>
      <c r="O970" s="64"/>
    </row>
    <row r="971" spans="1:15" ht="15.75" customHeight="1">
      <c r="A971" s="68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60"/>
      <c r="O971" s="64"/>
    </row>
    <row r="972" spans="1:15" ht="15.75" customHeight="1">
      <c r="A972" s="68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60"/>
      <c r="O972" s="64"/>
    </row>
    <row r="973" spans="1:15" ht="15.75" customHeight="1">
      <c r="A973" s="68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60"/>
      <c r="O973" s="64"/>
    </row>
    <row r="974" spans="1:15" ht="15.75" customHeight="1">
      <c r="A974" s="68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60"/>
      <c r="O974" s="64"/>
    </row>
    <row r="975" spans="1:15" ht="15.75" customHeight="1">
      <c r="A975" s="68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60"/>
      <c r="O975" s="64"/>
    </row>
    <row r="976" spans="1:15" ht="15.75" customHeight="1">
      <c r="A976" s="68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60"/>
      <c r="O976" s="64"/>
    </row>
    <row r="977" spans="1:15" ht="15.75" customHeight="1">
      <c r="A977" s="68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60"/>
      <c r="O977" s="64"/>
    </row>
    <row r="978" spans="1:15" ht="15.75" customHeight="1">
      <c r="A978" s="68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60"/>
      <c r="O978" s="64"/>
    </row>
    <row r="979" spans="1:15" ht="15.75" customHeight="1">
      <c r="A979" s="68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60"/>
      <c r="O979" s="64"/>
    </row>
    <row r="980" spans="1:15" ht="15.75" customHeight="1">
      <c r="A980" s="68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60"/>
      <c r="O980" s="64"/>
    </row>
    <row r="981" spans="1:15" ht="15.75" customHeight="1">
      <c r="A981" s="68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60"/>
      <c r="O981" s="64"/>
    </row>
    <row r="982" spans="1:15" ht="15.75" customHeight="1">
      <c r="A982" s="68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60"/>
      <c r="O982" s="64"/>
    </row>
    <row r="983" spans="1:15" ht="15.75" customHeight="1">
      <c r="A983" s="68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60"/>
      <c r="O983" s="64"/>
    </row>
    <row r="984" spans="1:15" ht="15.75" customHeight="1">
      <c r="A984" s="68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60"/>
      <c r="O984" s="64"/>
    </row>
    <row r="985" spans="1:15" ht="15.75" customHeight="1">
      <c r="A985" s="68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60"/>
      <c r="O985" s="64"/>
    </row>
    <row r="986" spans="1:15" ht="15.75" customHeight="1">
      <c r="A986" s="68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60"/>
      <c r="O986" s="64"/>
    </row>
    <row r="987" spans="1:15" ht="15.75" customHeight="1">
      <c r="A987" s="68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60"/>
      <c r="O987" s="64"/>
    </row>
    <row r="988" spans="1:15" ht="15.75" customHeight="1">
      <c r="A988" s="68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60"/>
      <c r="O988" s="64"/>
    </row>
    <row r="989" spans="1:15" ht="15.75" customHeight="1">
      <c r="A989" s="68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60"/>
      <c r="O989" s="64"/>
    </row>
    <row r="990" spans="1:15" ht="15.75" customHeight="1">
      <c r="A990" s="68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60"/>
      <c r="O990" s="64"/>
    </row>
    <row r="991" spans="1:15" ht="15.75" customHeight="1">
      <c r="A991" s="68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60"/>
      <c r="O991" s="64"/>
    </row>
    <row r="992" spans="1:15" ht="15.75" customHeight="1">
      <c r="A992" s="68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60"/>
      <c r="O992" s="64"/>
    </row>
    <row r="993" spans="1:15" ht="15.75" customHeight="1">
      <c r="A993" s="68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60"/>
      <c r="O993" s="64"/>
    </row>
    <row r="994" spans="1:15" ht="15.75" customHeight="1">
      <c r="A994" s="68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60"/>
      <c r="O994" s="64"/>
    </row>
    <row r="995" spans="1:15" ht="15.75" customHeight="1">
      <c r="A995" s="68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60"/>
      <c r="O995" s="64"/>
    </row>
    <row r="996" spans="1:15" ht="15.75" customHeight="1">
      <c r="A996" s="68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60"/>
      <c r="O996" s="64"/>
    </row>
    <row r="997" spans="1:15" ht="15.75" customHeight="1">
      <c r="A997" s="68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60"/>
      <c r="O997" s="64"/>
    </row>
    <row r="998" spans="1:15" ht="15.75" customHeight="1">
      <c r="A998" s="68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60"/>
      <c r="O998" s="64"/>
    </row>
    <row r="999" spans="1:15" ht="15.75" customHeight="1">
      <c r="A999" s="68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60"/>
      <c r="O999" s="64"/>
    </row>
    <row r="1000" spans="1:15" ht="15.75" customHeight="1">
      <c r="A1000" s="68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60"/>
      <c r="O1000" s="64"/>
    </row>
    <row r="1001" spans="1:15" ht="15.75" customHeight="1">
      <c r="A1001" s="68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60"/>
      <c r="O1001" s="64"/>
    </row>
    <row r="1002" spans="1:15" ht="15.75" customHeight="1">
      <c r="A1002" s="68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60"/>
      <c r="O1002" s="64"/>
    </row>
    <row r="1003" spans="1:15" ht="15.75" customHeight="1">
      <c r="A1003" s="68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60"/>
      <c r="O1003" s="64"/>
    </row>
    <row r="1004" spans="1:15" ht="15.75" customHeight="1">
      <c r="A1004" s="68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60"/>
      <c r="O1004" s="64"/>
    </row>
    <row r="1005" spans="1:15" ht="15.75" customHeight="1">
      <c r="A1005" s="68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60"/>
      <c r="O1005" s="64"/>
    </row>
    <row r="1006" spans="1:15" ht="15.75" customHeight="1">
      <c r="A1006" s="68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60"/>
      <c r="O1006" s="64"/>
    </row>
    <row r="1007" spans="1:15" ht="15.75" customHeight="1">
      <c r="A1007" s="68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60"/>
      <c r="O1007" s="64"/>
    </row>
    <row r="1008" spans="1:15" ht="15.75" customHeight="1">
      <c r="A1008" s="68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60"/>
      <c r="O1008" s="64"/>
    </row>
    <row r="1009" spans="1:15" ht="15.75" customHeight="1">
      <c r="A1009" s="68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60"/>
      <c r="O1009" s="64"/>
    </row>
    <row r="1010" spans="1:15" ht="15.75" customHeight="1">
      <c r="A1010" s="68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60"/>
      <c r="O1010" s="64"/>
    </row>
    <row r="1011" spans="1:15" ht="15.75" customHeight="1">
      <c r="A1011" s="68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60"/>
      <c r="O1011" s="64"/>
    </row>
    <row r="1012" spans="1:15" ht="15.75" customHeight="1">
      <c r="A1012" s="68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60"/>
      <c r="O1012" s="64"/>
    </row>
    <row r="1013" spans="1:15" ht="15.75" customHeight="1">
      <c r="A1013" s="68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60"/>
      <c r="O1013" s="64"/>
    </row>
    <row r="1014" spans="1:15" ht="15.75" customHeight="1">
      <c r="A1014" s="68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60"/>
      <c r="O1014" s="64"/>
    </row>
    <row r="1015" spans="1:15" ht="15.75" customHeight="1">
      <c r="A1015" s="68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60"/>
      <c r="O1015" s="64"/>
    </row>
    <row r="1016" spans="1:15" ht="15.75" customHeight="1">
      <c r="A1016" s="68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60"/>
      <c r="O1016" s="64"/>
    </row>
    <row r="1017" spans="1:15" ht="15.75" customHeight="1">
      <c r="A1017" s="68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60"/>
      <c r="O1017" s="64"/>
    </row>
    <row r="1018" spans="1:15" ht="15.75" customHeight="1">
      <c r="A1018" s="68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60"/>
      <c r="O1018" s="64"/>
    </row>
    <row r="1019" spans="1:15" ht="15.75" customHeight="1">
      <c r="A1019" s="68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60"/>
      <c r="O1019" s="64"/>
    </row>
    <row r="1020" spans="1:15" ht="15.75" customHeight="1">
      <c r="A1020" s="68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60"/>
      <c r="O1020" s="64"/>
    </row>
    <row r="1021" spans="1:15" ht="15.75" customHeight="1">
      <c r="A1021" s="68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60"/>
      <c r="O1021" s="64"/>
    </row>
    <row r="1022" spans="1:15" ht="15.75" customHeight="1">
      <c r="A1022" s="68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60"/>
      <c r="O1022" s="64"/>
    </row>
    <row r="1023" spans="1:15" ht="15.75" customHeight="1">
      <c r="A1023" s="68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60"/>
      <c r="O1023" s="64"/>
    </row>
    <row r="1024" spans="1:15" ht="15.75" customHeight="1">
      <c r="A1024" s="68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60"/>
      <c r="O1024" s="64"/>
    </row>
    <row r="1025" spans="1:15" ht="15.75" customHeight="1">
      <c r="A1025" s="68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60"/>
      <c r="O1025" s="64"/>
    </row>
    <row r="1026" spans="1:15" ht="15.75" customHeight="1">
      <c r="A1026" s="68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60"/>
      <c r="O1026" s="64"/>
    </row>
    <row r="1027" spans="1:15" ht="15.75" customHeight="1">
      <c r="A1027" s="68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60"/>
      <c r="O1027" s="64"/>
    </row>
    <row r="1028" spans="1:15" ht="15.75" customHeight="1">
      <c r="A1028" s="68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60"/>
      <c r="O1028" s="64"/>
    </row>
    <row r="1029" spans="1:15" ht="15.75" customHeight="1">
      <c r="A1029" s="68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60"/>
      <c r="O1029" s="64"/>
    </row>
    <row r="1030" spans="1:15" ht="15.75" customHeight="1">
      <c r="A1030" s="68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60"/>
      <c r="O1030" s="64"/>
    </row>
    <row r="1031" spans="1:15" ht="15.75" customHeight="1">
      <c r="A1031" s="68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60"/>
      <c r="O1031" s="64"/>
    </row>
    <row r="1032" spans="1:15" ht="15.75" customHeight="1">
      <c r="A1032" s="68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60"/>
      <c r="O1032" s="64"/>
    </row>
    <row r="1033" spans="1:15" ht="15.75" customHeight="1">
      <c r="A1033" s="68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60"/>
      <c r="O1033" s="64"/>
    </row>
    <row r="1034" spans="1:15" ht="15.75" customHeight="1">
      <c r="A1034" s="68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60"/>
      <c r="O1034" s="64"/>
    </row>
  </sheetData>
  <pageMargins left="0.75" right="0.75" top="1" bottom="1" header="0.5" footer="0.5"/>
  <pageSetup orientation="portrait" horizontalDpi="4294967292" verticalDpi="4294967292"/>
  <ignoredErrors>
    <ignoredError sqref="D38 L38" formula="1"/>
  </ignoredErrors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3787-C33B-8D47-994E-F16801DB91E2}">
  <dimension ref="B1:J12"/>
  <sheetViews>
    <sheetView zoomScale="150" zoomScaleNormal="150" workbookViewId="0">
      <selection activeCell="B9" sqref="B9"/>
    </sheetView>
  </sheetViews>
  <sheetFormatPr baseColWidth="10" defaultColWidth="10.83203125" defaultRowHeight="16"/>
  <cols>
    <col min="1" max="1" width="10.83203125" style="212"/>
    <col min="2" max="2" width="13.5" style="212" customWidth="1"/>
    <col min="3" max="6" width="13" style="212" customWidth="1"/>
    <col min="7" max="16384" width="10.83203125" style="212"/>
  </cols>
  <sheetData>
    <row r="1" spans="2:10" ht="34">
      <c r="B1" s="230"/>
      <c r="C1" s="710" t="s">
        <v>642</v>
      </c>
      <c r="D1" s="229" t="s">
        <v>643</v>
      </c>
      <c r="E1" s="710" t="s">
        <v>644</v>
      </c>
      <c r="F1" s="711" t="s">
        <v>645</v>
      </c>
      <c r="G1" s="810" t="s">
        <v>646</v>
      </c>
      <c r="H1" s="811"/>
      <c r="I1" s="811"/>
      <c r="J1" s="812"/>
    </row>
    <row r="2" spans="2:10">
      <c r="B2" s="228" t="s">
        <v>647</v>
      </c>
      <c r="C2" s="224"/>
      <c r="D2" s="224"/>
      <c r="E2" s="224"/>
      <c r="F2" s="227"/>
      <c r="G2" s="226">
        <v>150</v>
      </c>
      <c r="H2" s="225"/>
      <c r="I2" s="224">
        <v>200</v>
      </c>
      <c r="J2" s="223"/>
    </row>
    <row r="3" spans="2:10">
      <c r="B3" s="222" t="s">
        <v>648</v>
      </c>
      <c r="C3" s="213">
        <v>325</v>
      </c>
      <c r="D3" s="213">
        <f>C3</f>
        <v>325</v>
      </c>
      <c r="E3" s="213">
        <v>0</v>
      </c>
      <c r="F3" s="219">
        <f>E3/C3</f>
        <v>0</v>
      </c>
      <c r="G3" s="221">
        <f>C3-$G$2</f>
        <v>175</v>
      </c>
      <c r="H3" s="220">
        <f>G3/$G$2</f>
        <v>1.1666666666666667</v>
      </c>
      <c r="I3" s="213">
        <f>C3-$I$2</f>
        <v>125</v>
      </c>
      <c r="J3" s="219">
        <f>I3/I2</f>
        <v>0.625</v>
      </c>
    </row>
    <row r="4" spans="2:10">
      <c r="B4" s="222" t="s">
        <v>649</v>
      </c>
      <c r="C4" s="213">
        <f>3*$C$3*(1-F4)</f>
        <v>897</v>
      </c>
      <c r="D4" s="213">
        <f>C4/3</f>
        <v>299</v>
      </c>
      <c r="E4" s="213">
        <f>(3*C3)-C4</f>
        <v>78</v>
      </c>
      <c r="F4" s="219">
        <v>0.08</v>
      </c>
      <c r="G4" s="221">
        <f>C4-(3*$G$2)</f>
        <v>447</v>
      </c>
      <c r="H4" s="220">
        <f>G4/(3*$G$2)</f>
        <v>0.99333333333333329</v>
      </c>
      <c r="I4" s="213">
        <f>C4-(3*$I$2)</f>
        <v>297</v>
      </c>
      <c r="J4" s="219">
        <f>I4/(3*$I$2)</f>
        <v>0.495</v>
      </c>
    </row>
    <row r="5" spans="2:10">
      <c r="B5" s="222" t="s">
        <v>650</v>
      </c>
      <c r="C5" s="213">
        <f>6*$C$3*(1-F5)</f>
        <v>1755</v>
      </c>
      <c r="D5" s="213">
        <f>C5/6</f>
        <v>292.5</v>
      </c>
      <c r="E5" s="213">
        <f>(6*C3)-C5</f>
        <v>195</v>
      </c>
      <c r="F5" s="219">
        <v>0.1</v>
      </c>
      <c r="G5" s="221">
        <f>C5-(6*$G$2)</f>
        <v>855</v>
      </c>
      <c r="H5" s="220">
        <f>G5/(6*$G$2)</f>
        <v>0.95</v>
      </c>
      <c r="I5" s="213">
        <f>C5-(6*$I$2)</f>
        <v>555</v>
      </c>
      <c r="J5" s="219">
        <f>I5/(6*$I$2)</f>
        <v>0.46250000000000002</v>
      </c>
    </row>
    <row r="6" spans="2:10" ht="17" thickBot="1">
      <c r="B6" s="218" t="s">
        <v>651</v>
      </c>
      <c r="C6" s="215">
        <f>12*$C$3*(1-F6)</f>
        <v>3432</v>
      </c>
      <c r="D6" s="215">
        <f>C6/12</f>
        <v>286</v>
      </c>
      <c r="E6" s="215">
        <f>(12*C3)-C6</f>
        <v>468</v>
      </c>
      <c r="F6" s="214">
        <v>0.12</v>
      </c>
      <c r="G6" s="217">
        <f>C6-(12*$G$2)</f>
        <v>1632</v>
      </c>
      <c r="H6" s="216">
        <f>G6/(12*$G$2)</f>
        <v>0.90666666666666662</v>
      </c>
      <c r="I6" s="215">
        <f>C6-(12*$I$2)</f>
        <v>1032</v>
      </c>
      <c r="J6" s="214">
        <f>I6/(12*$I$2)</f>
        <v>0.43</v>
      </c>
    </row>
    <row r="7" spans="2:10">
      <c r="G7" s="213"/>
    </row>
    <row r="8" spans="2:10">
      <c r="B8" s="212" t="s">
        <v>652</v>
      </c>
      <c r="D8" s="213">
        <v>249</v>
      </c>
    </row>
    <row r="9" spans="2:10">
      <c r="D9" s="213">
        <v>299</v>
      </c>
    </row>
    <row r="10" spans="2:10">
      <c r="D10" s="213">
        <v>325</v>
      </c>
    </row>
    <row r="11" spans="2:10">
      <c r="D11" s="213"/>
    </row>
    <row r="12" spans="2:10">
      <c r="D12" s="213"/>
    </row>
  </sheetData>
  <mergeCells count="1">
    <mergeCell ref="G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8"/>
  <sheetViews>
    <sheetView topLeftCell="J1" zoomScale="200" zoomScaleNormal="200" zoomScalePageLayoutView="200" workbookViewId="0">
      <selection activeCell="N14" sqref="N14"/>
    </sheetView>
  </sheetViews>
  <sheetFormatPr baseColWidth="10" defaultColWidth="11.5" defaultRowHeight="15"/>
  <cols>
    <col min="1" max="8" width="8.1640625" customWidth="1"/>
    <col min="9" max="18" width="8" customWidth="1"/>
    <col min="19" max="19" width="8" style="81" customWidth="1"/>
    <col min="20" max="20" width="8" customWidth="1"/>
  </cols>
  <sheetData>
    <row r="2" spans="1:23">
      <c r="A2" s="37"/>
      <c r="B2" s="86">
        <v>42217</v>
      </c>
      <c r="C2" s="86">
        <v>42401</v>
      </c>
      <c r="D2" s="86">
        <v>42461</v>
      </c>
      <c r="E2" s="86">
        <v>42583</v>
      </c>
      <c r="F2" s="86">
        <v>42644</v>
      </c>
      <c r="G2" s="86">
        <v>42767</v>
      </c>
      <c r="H2" s="86">
        <v>42826</v>
      </c>
      <c r="I2" s="86">
        <v>42948</v>
      </c>
      <c r="J2" s="86">
        <v>43040</v>
      </c>
      <c r="K2" s="86">
        <v>43132</v>
      </c>
      <c r="L2" s="87">
        <v>43191</v>
      </c>
      <c r="M2" s="87">
        <v>43221</v>
      </c>
      <c r="N2" s="87">
        <v>43313</v>
      </c>
      <c r="O2" s="87">
        <v>43374</v>
      </c>
      <c r="P2" s="87">
        <v>43405</v>
      </c>
      <c r="Q2" s="87">
        <v>43497</v>
      </c>
      <c r="R2" s="87">
        <v>43556</v>
      </c>
      <c r="S2" s="87">
        <v>43586</v>
      </c>
      <c r="T2" s="87">
        <v>43678</v>
      </c>
      <c r="U2" s="87">
        <v>43739</v>
      </c>
      <c r="V2" s="87">
        <v>43770</v>
      </c>
      <c r="W2" s="87"/>
    </row>
    <row r="3" spans="1:23">
      <c r="A3" s="37" t="s">
        <v>653</v>
      </c>
      <c r="B3" s="37">
        <v>3</v>
      </c>
      <c r="C3" s="37">
        <v>7</v>
      </c>
      <c r="D3" s="37">
        <v>7</v>
      </c>
      <c r="E3" s="37">
        <v>8</v>
      </c>
      <c r="F3" s="37">
        <v>8</v>
      </c>
      <c r="G3" s="37">
        <v>8</v>
      </c>
      <c r="H3" s="37">
        <v>8</v>
      </c>
      <c r="I3" s="37">
        <v>8</v>
      </c>
      <c r="J3" s="37">
        <v>13</v>
      </c>
      <c r="K3" s="37">
        <v>13</v>
      </c>
      <c r="L3" s="37">
        <v>16</v>
      </c>
      <c r="M3" s="37">
        <v>21</v>
      </c>
      <c r="N3" s="37">
        <v>23</v>
      </c>
      <c r="O3" s="37">
        <v>28</v>
      </c>
      <c r="P3" s="37">
        <v>23</v>
      </c>
      <c r="Q3" s="37">
        <v>23</v>
      </c>
      <c r="R3" s="37">
        <v>28</v>
      </c>
      <c r="S3" s="37">
        <v>28</v>
      </c>
      <c r="T3" s="37">
        <v>28</v>
      </c>
      <c r="U3" s="37">
        <v>28</v>
      </c>
      <c r="V3" s="37">
        <v>23</v>
      </c>
      <c r="W3" s="288"/>
    </row>
    <row r="4" spans="1:23">
      <c r="A4" s="37" t="s">
        <v>654</v>
      </c>
      <c r="B4" s="37"/>
      <c r="C4" s="37"/>
      <c r="D4" s="37"/>
      <c r="E4" s="37">
        <v>3</v>
      </c>
      <c r="F4" s="37">
        <v>3</v>
      </c>
      <c r="G4" s="37">
        <v>7</v>
      </c>
      <c r="H4" s="37">
        <v>7</v>
      </c>
      <c r="I4" s="37">
        <v>8</v>
      </c>
      <c r="J4" s="37">
        <v>8</v>
      </c>
      <c r="K4" s="37">
        <v>8</v>
      </c>
      <c r="L4" s="37">
        <v>8</v>
      </c>
      <c r="M4" s="37">
        <v>8</v>
      </c>
      <c r="N4" s="37">
        <v>6</v>
      </c>
      <c r="O4" s="37">
        <v>6</v>
      </c>
      <c r="P4" s="37">
        <v>13</v>
      </c>
      <c r="Q4" s="37">
        <v>13</v>
      </c>
      <c r="R4" s="37">
        <v>16</v>
      </c>
      <c r="S4" s="37">
        <v>21</v>
      </c>
      <c r="T4" s="37">
        <v>23</v>
      </c>
      <c r="U4" s="37">
        <v>23</v>
      </c>
      <c r="V4" s="37">
        <v>23</v>
      </c>
      <c r="W4" s="37"/>
    </row>
    <row r="5" spans="1:23">
      <c r="A5" s="37" t="s">
        <v>655</v>
      </c>
      <c r="B5" s="37"/>
      <c r="C5" s="37"/>
      <c r="D5" s="37">
        <v>2</v>
      </c>
      <c r="E5" s="37">
        <v>3</v>
      </c>
      <c r="F5" s="37">
        <v>3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1</v>
      </c>
      <c r="M5" s="37">
        <v>1</v>
      </c>
      <c r="N5" s="288"/>
      <c r="O5" s="288"/>
      <c r="P5" s="288"/>
      <c r="Q5" s="288"/>
      <c r="R5" s="288"/>
      <c r="S5" s="288"/>
      <c r="T5" s="288"/>
      <c r="U5" s="288"/>
      <c r="V5" s="288"/>
      <c r="W5" s="288"/>
    </row>
    <row r="6" spans="1:23">
      <c r="A6" s="37" t="s">
        <v>656</v>
      </c>
      <c r="B6" s="288"/>
      <c r="C6" s="288"/>
      <c r="D6" s="288"/>
      <c r="E6" s="288"/>
      <c r="F6" s="288"/>
      <c r="G6" s="288"/>
      <c r="H6" s="288"/>
      <c r="I6" s="288">
        <v>3</v>
      </c>
      <c r="J6" s="288"/>
      <c r="K6" s="37">
        <v>4</v>
      </c>
      <c r="L6" s="37">
        <v>2</v>
      </c>
      <c r="M6" s="288"/>
      <c r="N6" s="288">
        <v>4</v>
      </c>
      <c r="O6" s="288"/>
      <c r="P6" s="288"/>
      <c r="Q6" s="288">
        <v>4</v>
      </c>
      <c r="R6" s="288">
        <v>2</v>
      </c>
      <c r="S6" s="288"/>
      <c r="T6" s="288">
        <v>2</v>
      </c>
      <c r="U6" s="288"/>
      <c r="V6" s="288"/>
      <c r="W6" s="288"/>
    </row>
    <row r="8" spans="1:23">
      <c r="A8" s="288" t="s">
        <v>279</v>
      </c>
      <c r="B8" s="288">
        <f>B3+B4+B5</f>
        <v>3</v>
      </c>
      <c r="C8" s="288">
        <f t="shared" ref="C8:V8" si="0">C3+C4+C5</f>
        <v>7</v>
      </c>
      <c r="D8" s="288">
        <f t="shared" si="0"/>
        <v>9</v>
      </c>
      <c r="E8" s="288">
        <f t="shared" si="0"/>
        <v>14</v>
      </c>
      <c r="F8" s="288">
        <f t="shared" si="0"/>
        <v>14</v>
      </c>
      <c r="G8" s="288">
        <f t="shared" si="0"/>
        <v>18</v>
      </c>
      <c r="H8" s="288">
        <f t="shared" si="0"/>
        <v>18</v>
      </c>
      <c r="I8" s="288">
        <f t="shared" si="0"/>
        <v>19</v>
      </c>
      <c r="J8" s="288">
        <f t="shared" si="0"/>
        <v>24</v>
      </c>
      <c r="K8" s="288">
        <f t="shared" si="0"/>
        <v>24</v>
      </c>
      <c r="L8" s="288">
        <f t="shared" si="0"/>
        <v>25</v>
      </c>
      <c r="M8" s="288">
        <f t="shared" si="0"/>
        <v>30</v>
      </c>
      <c r="N8" s="288">
        <f t="shared" si="0"/>
        <v>29</v>
      </c>
      <c r="O8" s="288">
        <f t="shared" si="0"/>
        <v>34</v>
      </c>
      <c r="P8" s="288">
        <f t="shared" si="0"/>
        <v>36</v>
      </c>
      <c r="Q8" s="288">
        <f t="shared" si="0"/>
        <v>36</v>
      </c>
      <c r="R8" s="288">
        <f t="shared" si="0"/>
        <v>44</v>
      </c>
      <c r="S8" s="288">
        <f t="shared" si="0"/>
        <v>49</v>
      </c>
      <c r="T8" s="288">
        <f t="shared" si="0"/>
        <v>51</v>
      </c>
      <c r="U8" s="288">
        <f t="shared" si="0"/>
        <v>51</v>
      </c>
      <c r="V8" s="288">
        <f t="shared" si="0"/>
        <v>46</v>
      </c>
      <c r="W8" s="288"/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"/>
  <sheetViews>
    <sheetView zoomScale="160" zoomScaleNormal="160" zoomScalePageLayoutView="160" workbookViewId="0">
      <selection activeCell="B26" sqref="B26"/>
    </sheetView>
  </sheetViews>
  <sheetFormatPr baseColWidth="10" defaultColWidth="11.5" defaultRowHeight="15"/>
  <cols>
    <col min="3" max="3" width="16" customWidth="1"/>
    <col min="4" max="4" width="18.6640625" customWidth="1"/>
    <col min="5" max="5" width="17.33203125" customWidth="1"/>
  </cols>
  <sheetData>
    <row r="1" spans="1:5" s="116" customFormat="1">
      <c r="A1" s="116" t="s">
        <v>657</v>
      </c>
      <c r="B1" s="116" t="s">
        <v>658</v>
      </c>
      <c r="C1" s="116" t="s">
        <v>659</v>
      </c>
      <c r="D1" s="116" t="s">
        <v>660</v>
      </c>
      <c r="E1" s="116" t="s">
        <v>115</v>
      </c>
    </row>
    <row r="2" spans="1:5">
      <c r="A2" s="112" t="s">
        <v>661</v>
      </c>
      <c r="B2" s="288" t="s">
        <v>662</v>
      </c>
      <c r="C2" s="114">
        <v>205000</v>
      </c>
      <c r="D2" s="114">
        <v>205000</v>
      </c>
      <c r="E2" s="114"/>
    </row>
    <row r="3" spans="1:5">
      <c r="A3" s="112" t="s">
        <v>513</v>
      </c>
      <c r="B3" s="288" t="s">
        <v>663</v>
      </c>
      <c r="C3" s="114">
        <v>155000</v>
      </c>
      <c r="D3" s="114">
        <v>155000</v>
      </c>
      <c r="E3" s="114"/>
    </row>
    <row r="4" spans="1:5">
      <c r="A4" s="112" t="s">
        <v>664</v>
      </c>
      <c r="B4" s="288" t="s">
        <v>665</v>
      </c>
      <c r="C4" s="114"/>
      <c r="D4" s="114">
        <v>100000</v>
      </c>
      <c r="E4" s="114"/>
    </row>
    <row r="5" spans="1:5">
      <c r="A5" s="112" t="s">
        <v>514</v>
      </c>
      <c r="B5" s="288" t="s">
        <v>666</v>
      </c>
      <c r="C5" s="114"/>
      <c r="D5" s="114">
        <v>100000</v>
      </c>
      <c r="E5" s="114"/>
    </row>
    <row r="6" spans="1:5">
      <c r="A6" s="112" t="s">
        <v>667</v>
      </c>
      <c r="B6" s="288" t="s">
        <v>668</v>
      </c>
      <c r="C6" s="114"/>
      <c r="D6" s="114">
        <v>150000</v>
      </c>
      <c r="E6" s="114"/>
    </row>
    <row r="7" spans="1:5" s="3" customFormat="1">
      <c r="A7" s="113" t="s">
        <v>669</v>
      </c>
      <c r="C7" s="115">
        <f>SUM(C2:C6)</f>
        <v>360000</v>
      </c>
      <c r="D7" s="115">
        <f>SUM(D2:D6)</f>
        <v>710000</v>
      </c>
      <c r="E7" s="115">
        <f>D7-C7</f>
        <v>350000</v>
      </c>
    </row>
    <row r="8" spans="1:5" s="111" customFormat="1">
      <c r="A8" s="288"/>
      <c r="B8" s="288"/>
      <c r="C8" s="114"/>
      <c r="D8" s="114"/>
      <c r="E8" s="114"/>
    </row>
    <row r="9" spans="1:5">
      <c r="A9" s="112" t="s">
        <v>670</v>
      </c>
      <c r="B9" s="288" t="s">
        <v>671</v>
      </c>
      <c r="C9" s="114">
        <v>35000</v>
      </c>
      <c r="D9" s="114">
        <v>40000</v>
      </c>
      <c r="E9" s="114"/>
    </row>
    <row r="10" spans="1:5">
      <c r="A10" s="112" t="s">
        <v>208</v>
      </c>
      <c r="B10" s="288" t="s">
        <v>672</v>
      </c>
      <c r="C10" s="114">
        <v>25000</v>
      </c>
      <c r="D10" s="114">
        <v>25000</v>
      </c>
      <c r="E10" s="114"/>
    </row>
    <row r="11" spans="1:5">
      <c r="A11" s="112" t="s">
        <v>673</v>
      </c>
      <c r="B11" s="288" t="s">
        <v>674</v>
      </c>
      <c r="C11" s="114">
        <v>16000</v>
      </c>
      <c r="D11" s="114">
        <v>16000</v>
      </c>
      <c r="E11" s="114"/>
    </row>
    <row r="12" spans="1:5">
      <c r="A12" s="112" t="s">
        <v>603</v>
      </c>
      <c r="B12" s="288" t="s">
        <v>675</v>
      </c>
      <c r="C12" s="114">
        <v>14000</v>
      </c>
      <c r="D12" s="114">
        <v>14000</v>
      </c>
      <c r="E12" s="114"/>
    </row>
    <row r="13" spans="1:5">
      <c r="A13" s="112" t="s">
        <v>676</v>
      </c>
      <c r="B13" s="288" t="s">
        <v>677</v>
      </c>
      <c r="C13" s="114">
        <v>16000</v>
      </c>
      <c r="D13" s="114">
        <v>40000</v>
      </c>
      <c r="E13" s="114"/>
    </row>
    <row r="14" spans="1:5">
      <c r="A14" s="112" t="s">
        <v>678</v>
      </c>
      <c r="B14" s="288" t="s">
        <v>679</v>
      </c>
      <c r="C14" s="114">
        <v>18000</v>
      </c>
      <c r="D14" s="114">
        <v>18000</v>
      </c>
      <c r="E14" s="114"/>
    </row>
    <row r="15" spans="1:5">
      <c r="A15" s="112" t="s">
        <v>680</v>
      </c>
      <c r="B15" s="288" t="s">
        <v>681</v>
      </c>
      <c r="C15" s="114">
        <v>22000</v>
      </c>
      <c r="D15" s="114">
        <v>30000</v>
      </c>
      <c r="E15" s="288"/>
    </row>
    <row r="16" spans="1:5" s="3" customFormat="1">
      <c r="A16" s="113" t="s">
        <v>669</v>
      </c>
      <c r="C16" s="115">
        <f>SUM(C9:C15)</f>
        <v>146000</v>
      </c>
      <c r="D16" s="115">
        <f>SUM(D9:D15)</f>
        <v>183000</v>
      </c>
      <c r="E16" s="115">
        <f>D16-C16</f>
        <v>37000</v>
      </c>
    </row>
    <row r="17" spans="1:5" s="3" customFormat="1">
      <c r="A17" s="113"/>
      <c r="C17" s="115"/>
      <c r="D17" s="115"/>
      <c r="E17" s="115"/>
    </row>
    <row r="18" spans="1:5" s="5" customFormat="1">
      <c r="A18" s="117" t="s">
        <v>682</v>
      </c>
      <c r="C18" s="118">
        <v>20000</v>
      </c>
      <c r="D18" s="118">
        <v>40000</v>
      </c>
      <c r="E18" s="118"/>
    </row>
    <row r="19" spans="1:5" s="3" customFormat="1">
      <c r="A19" s="117" t="s">
        <v>683</v>
      </c>
      <c r="C19" s="118">
        <v>35000</v>
      </c>
      <c r="D19" s="118">
        <v>70000</v>
      </c>
      <c r="E19" s="115"/>
    </row>
    <row r="20" spans="1:5" s="5" customFormat="1">
      <c r="A20" s="117" t="s">
        <v>684</v>
      </c>
      <c r="C20" s="118"/>
      <c r="D20" s="118">
        <v>50000</v>
      </c>
      <c r="E20" s="118"/>
    </row>
    <row r="21" spans="1:5" s="3" customFormat="1">
      <c r="A21" s="113" t="s">
        <v>669</v>
      </c>
      <c r="C21" s="115">
        <f>SUM(C18:C19)</f>
        <v>55000</v>
      </c>
      <c r="D21" s="115">
        <f>SUM(D18:D20)</f>
        <v>160000</v>
      </c>
      <c r="E21" s="115">
        <f>D21-C21</f>
        <v>105000</v>
      </c>
    </row>
    <row r="22" spans="1:5">
      <c r="A22" s="288"/>
      <c r="B22" s="288"/>
      <c r="C22" s="114"/>
      <c r="D22" s="114"/>
      <c r="E22" s="114"/>
    </row>
    <row r="23" spans="1:5" s="3" customFormat="1">
      <c r="A23" s="113" t="s">
        <v>685</v>
      </c>
      <c r="C23" s="115"/>
      <c r="D23" s="115"/>
      <c r="E23" s="115">
        <f>SUM(E7:E21)</f>
        <v>492000</v>
      </c>
    </row>
    <row r="24" spans="1:5" s="3" customFormat="1">
      <c r="A24" s="3" t="s">
        <v>686</v>
      </c>
      <c r="C24" s="115"/>
      <c r="D24" s="115"/>
      <c r="E24" s="115">
        <f>3*E23</f>
        <v>1476000</v>
      </c>
    </row>
    <row r="26" spans="1:5">
      <c r="A26" s="288" t="s">
        <v>687</v>
      </c>
      <c r="B26" s="288" t="s">
        <v>688</v>
      </c>
      <c r="C26" s="288"/>
      <c r="D26" s="288"/>
      <c r="E26" s="2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E7EF-23A4-D94D-8DF7-ACABCAC791EF}">
  <dimension ref="A1:AF144"/>
  <sheetViews>
    <sheetView zoomScale="141" zoomScaleNormal="141" zoomScalePageLayoutView="150" workbookViewId="0">
      <pane xSplit="1" ySplit="3" topLeftCell="B111" activePane="bottomRight" state="frozen"/>
      <selection pane="topRight" activeCell="AW1" sqref="AW1"/>
      <selection pane="bottomLeft" activeCell="A4" sqref="A4"/>
      <selection pane="bottomRight" activeCell="H10" sqref="H10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121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2.33203125" style="394" customWidth="1"/>
    <col min="19" max="19" width="26.6640625" style="489" customWidth="1"/>
    <col min="20" max="16384" width="8.83203125" style="121"/>
  </cols>
  <sheetData>
    <row r="1" spans="1:19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294"/>
      <c r="S1" s="476"/>
    </row>
    <row r="2" spans="1:19" ht="23" customHeight="1">
      <c r="A2" s="418"/>
      <c r="B2" s="555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297"/>
      <c r="S2" s="476"/>
    </row>
    <row r="3" spans="1:19" s="436" customFormat="1" ht="1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435">
        <v>44531</v>
      </c>
      <c r="N3" s="430" t="s">
        <v>112</v>
      </c>
      <c r="O3" s="431" t="s">
        <v>113</v>
      </c>
      <c r="P3" s="432" t="s">
        <v>114</v>
      </c>
      <c r="Q3" s="432" t="s">
        <v>115</v>
      </c>
      <c r="R3" s="433" t="s">
        <v>116</v>
      </c>
      <c r="S3" s="490" t="s">
        <v>117</v>
      </c>
    </row>
    <row r="4" spans="1:19" s="267" customFormat="1" ht="17">
      <c r="A4" s="546" t="s">
        <v>218</v>
      </c>
      <c r="B4" s="41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387"/>
      <c r="N4" s="396"/>
      <c r="O4" s="397"/>
      <c r="P4" s="133"/>
      <c r="Q4" s="133"/>
      <c r="R4" s="394"/>
      <c r="S4" s="477"/>
    </row>
    <row r="5" spans="1:19" s="267" customFormat="1" ht="13">
      <c r="A5" s="419" t="s">
        <v>10</v>
      </c>
      <c r="B5" s="27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379"/>
      <c r="N5" s="396"/>
      <c r="O5" s="397"/>
      <c r="P5" s="271"/>
      <c r="Q5" s="133"/>
      <c r="R5" s="394"/>
      <c r="S5" s="477"/>
    </row>
    <row r="6" spans="1:19" s="267" customFormat="1" ht="13">
      <c r="A6" s="420" t="s">
        <v>11</v>
      </c>
      <c r="B6" s="278">
        <f>0</f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379">
        <f>0</f>
        <v>0</v>
      </c>
      <c r="N6" s="396">
        <f t="shared" ref="N6:N11" si="0">SUM(B6:M6)</f>
        <v>0</v>
      </c>
      <c r="O6" s="397">
        <v>0</v>
      </c>
      <c r="P6" s="271">
        <v>0</v>
      </c>
      <c r="Q6" s="274">
        <f>N6-P6</f>
        <v>0</v>
      </c>
      <c r="R6" s="398"/>
      <c r="S6" s="477"/>
    </row>
    <row r="7" spans="1:19" s="267" customFormat="1" ht="13">
      <c r="A7" s="420" t="s">
        <v>118</v>
      </c>
      <c r="B7" s="278">
        <v>600</v>
      </c>
      <c r="C7" s="278">
        <v>600</v>
      </c>
      <c r="D7" s="278">
        <v>600</v>
      </c>
      <c r="E7" s="278">
        <v>600</v>
      </c>
      <c r="F7" s="271">
        <v>10000</v>
      </c>
      <c r="G7" s="271">
        <v>11200</v>
      </c>
      <c r="H7" s="271">
        <v>1100</v>
      </c>
      <c r="I7" s="271">
        <v>600</v>
      </c>
      <c r="J7" s="271">
        <v>600</v>
      </c>
      <c r="K7" s="271">
        <v>1100</v>
      </c>
      <c r="L7" s="271">
        <v>10000</v>
      </c>
      <c r="M7" s="379">
        <v>10000</v>
      </c>
      <c r="N7" s="396">
        <f t="shared" si="0"/>
        <v>47000</v>
      </c>
      <c r="O7" s="397">
        <v>47000</v>
      </c>
      <c r="P7" s="271"/>
      <c r="Q7" s="274">
        <f t="shared" ref="Q7:Q23" si="1">N7-P7</f>
        <v>47000</v>
      </c>
      <c r="R7" s="398"/>
      <c r="S7" s="477"/>
    </row>
    <row r="8" spans="1:19" s="267" customFormat="1" ht="13">
      <c r="A8" s="420" t="s">
        <v>13</v>
      </c>
      <c r="B8" s="278">
        <v>0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379">
        <v>0</v>
      </c>
      <c r="N8" s="396">
        <f t="shared" si="0"/>
        <v>0</v>
      </c>
      <c r="O8" s="397">
        <v>0</v>
      </c>
      <c r="P8" s="271">
        <v>5000</v>
      </c>
      <c r="Q8" s="274">
        <f t="shared" si="1"/>
        <v>-5000</v>
      </c>
      <c r="R8" s="398"/>
      <c r="S8" s="477"/>
    </row>
    <row r="9" spans="1:19" s="267" customFormat="1" ht="13">
      <c r="A9" s="421" t="s">
        <v>119</v>
      </c>
      <c r="B9" s="278">
        <v>6250</v>
      </c>
      <c r="C9" s="271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379">
        <v>3750</v>
      </c>
      <c r="N9" s="396">
        <f t="shared" si="0"/>
        <v>40000</v>
      </c>
      <c r="O9" s="399">
        <v>40000</v>
      </c>
      <c r="P9" s="271">
        <v>77000</v>
      </c>
      <c r="Q9" s="274">
        <f t="shared" si="1"/>
        <v>-37000</v>
      </c>
      <c r="R9" s="398"/>
      <c r="S9" s="477" t="s">
        <v>120</v>
      </c>
    </row>
    <row r="10" spans="1:19" s="267" customFormat="1" ht="15" customHeight="1">
      <c r="A10" s="420" t="s">
        <v>121</v>
      </c>
      <c r="B10" s="278">
        <v>10000</v>
      </c>
      <c r="C10" s="271">
        <v>4700</v>
      </c>
      <c r="D10" s="271">
        <v>4400</v>
      </c>
      <c r="E10" s="271">
        <v>6600</v>
      </c>
      <c r="F10" s="271">
        <v>8700</v>
      </c>
      <c r="G10" s="271">
        <v>7900</v>
      </c>
      <c r="H10" s="271">
        <v>5500</v>
      </c>
      <c r="I10" s="271">
        <v>35000</v>
      </c>
      <c r="J10" s="271">
        <v>3800</v>
      </c>
      <c r="K10" s="271">
        <v>100000</v>
      </c>
      <c r="L10" s="271">
        <v>15000</v>
      </c>
      <c r="M10" s="379">
        <v>35000</v>
      </c>
      <c r="N10" s="396">
        <f t="shared" si="0"/>
        <v>236600</v>
      </c>
      <c r="O10" s="397">
        <v>236600</v>
      </c>
      <c r="P10" s="271">
        <v>697365.77</v>
      </c>
      <c r="Q10" s="274">
        <f t="shared" si="1"/>
        <v>-460765.77</v>
      </c>
      <c r="R10" s="398"/>
      <c r="S10" s="477"/>
    </row>
    <row r="11" spans="1:19" s="267" customFormat="1" ht="13">
      <c r="A11" s="419" t="s">
        <v>19</v>
      </c>
      <c r="B11" s="276">
        <f t="shared" ref="B11:M11" si="2">SUM(B6:B10)</f>
        <v>16850</v>
      </c>
      <c r="C11" s="276">
        <f t="shared" si="2"/>
        <v>6550</v>
      </c>
      <c r="D11" s="276">
        <f t="shared" si="2"/>
        <v>7500</v>
      </c>
      <c r="E11" s="276">
        <f t="shared" si="2"/>
        <v>8450</v>
      </c>
      <c r="F11" s="276">
        <f t="shared" si="2"/>
        <v>19950</v>
      </c>
      <c r="G11" s="276">
        <f t="shared" si="2"/>
        <v>26600</v>
      </c>
      <c r="H11" s="276">
        <f t="shared" si="2"/>
        <v>7850</v>
      </c>
      <c r="I11" s="276">
        <f t="shared" si="2"/>
        <v>36850</v>
      </c>
      <c r="J11" s="276">
        <f t="shared" si="2"/>
        <v>15650</v>
      </c>
      <c r="K11" s="276">
        <f t="shared" si="2"/>
        <v>102350</v>
      </c>
      <c r="L11" s="276">
        <f t="shared" si="2"/>
        <v>26250</v>
      </c>
      <c r="M11" s="380">
        <f t="shared" si="2"/>
        <v>48750</v>
      </c>
      <c r="N11" s="439">
        <f t="shared" si="0"/>
        <v>323600</v>
      </c>
      <c r="O11" s="440">
        <f>SUM(O6:O10)</f>
        <v>323600</v>
      </c>
      <c r="P11" s="276">
        <v>779365.77</v>
      </c>
      <c r="Q11" s="275">
        <f t="shared" si="1"/>
        <v>-455765.77</v>
      </c>
      <c r="R11" s="441"/>
      <c r="S11" s="477"/>
    </row>
    <row r="12" spans="1:19" s="267" customFormat="1" ht="13" customHeight="1">
      <c r="A12" s="420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384"/>
      <c r="N12" s="396"/>
      <c r="O12" s="397"/>
      <c r="P12" s="133"/>
      <c r="Q12" s="274"/>
      <c r="R12" s="398"/>
      <c r="S12" s="477"/>
    </row>
    <row r="13" spans="1:19" s="267" customFormat="1" ht="13">
      <c r="A13" s="419" t="s">
        <v>122</v>
      </c>
      <c r="B13" s="278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379"/>
      <c r="N13" s="396"/>
      <c r="O13" s="397"/>
      <c r="P13" s="271"/>
      <c r="Q13" s="274"/>
      <c r="R13" s="398"/>
      <c r="S13" s="477"/>
    </row>
    <row r="14" spans="1:19" s="527" customFormat="1" ht="26">
      <c r="A14" s="519" t="s">
        <v>21</v>
      </c>
      <c r="B14" s="520">
        <v>0</v>
      </c>
      <c r="C14" s="521">
        <v>0</v>
      </c>
      <c r="D14" s="521">
        <v>0</v>
      </c>
      <c r="E14" s="521">
        <v>0</v>
      </c>
      <c r="F14" s="521">
        <v>17000</v>
      </c>
      <c r="G14" s="521">
        <v>17000</v>
      </c>
      <c r="H14" s="521">
        <v>17000</v>
      </c>
      <c r="I14" s="521">
        <v>17000</v>
      </c>
      <c r="J14" s="521">
        <v>17000</v>
      </c>
      <c r="K14" s="521">
        <v>17000</v>
      </c>
      <c r="L14" s="521">
        <v>0</v>
      </c>
      <c r="M14" s="522">
        <f>0</f>
        <v>0</v>
      </c>
      <c r="N14" s="544">
        <f>SUM(B14:M14)</f>
        <v>102000</v>
      </c>
      <c r="O14" s="523">
        <v>102000</v>
      </c>
      <c r="P14" s="521"/>
      <c r="Q14" s="524"/>
      <c r="R14" s="525"/>
      <c r="S14" s="575" t="s">
        <v>123</v>
      </c>
    </row>
    <row r="15" spans="1:19" s="267" customFormat="1" ht="13">
      <c r="A15" s="419" t="s">
        <v>124</v>
      </c>
      <c r="B15" s="278">
        <v>0</v>
      </c>
      <c r="C15" s="271">
        <f>0</f>
        <v>0</v>
      </c>
      <c r="D15" s="271">
        <v>0</v>
      </c>
      <c r="E15" s="271">
        <v>0</v>
      </c>
      <c r="F15" s="271">
        <v>10000</v>
      </c>
      <c r="G15" s="271">
        <f>0</f>
        <v>0</v>
      </c>
      <c r="H15" s="271">
        <v>10000</v>
      </c>
      <c r="I15" s="271">
        <f>0</f>
        <v>0</v>
      </c>
      <c r="J15" s="271">
        <v>10000</v>
      </c>
      <c r="K15" s="271">
        <f>0</f>
        <v>0</v>
      </c>
      <c r="L15" s="271">
        <f>0</f>
        <v>0</v>
      </c>
      <c r="M15" s="379">
        <f>0</f>
        <v>0</v>
      </c>
      <c r="N15" s="396">
        <f>SUM(B15:M15)</f>
        <v>30000</v>
      </c>
      <c r="O15" s="397">
        <v>30000</v>
      </c>
      <c r="P15" s="271"/>
      <c r="Q15" s="274"/>
      <c r="R15" s="398"/>
      <c r="S15" s="477"/>
    </row>
    <row r="16" spans="1:19" s="267" customFormat="1" ht="13">
      <c r="A16" s="420" t="s">
        <v>25</v>
      </c>
      <c r="B16" s="278">
        <v>0</v>
      </c>
      <c r="C16" s="271">
        <f>0</f>
        <v>0</v>
      </c>
      <c r="D16" s="271">
        <f>0</f>
        <v>0</v>
      </c>
      <c r="E16" s="271">
        <f>0</f>
        <v>0</v>
      </c>
      <c r="F16" s="271">
        <f>0</f>
        <v>0</v>
      </c>
      <c r="G16" s="278">
        <f>0</f>
        <v>0</v>
      </c>
      <c r="H16" s="271">
        <f>0</f>
        <v>0</v>
      </c>
      <c r="I16" s="271">
        <f>0</f>
        <v>0</v>
      </c>
      <c r="J16" s="271">
        <f>0</f>
        <v>0</v>
      </c>
      <c r="K16" s="271">
        <f>0</f>
        <v>0</v>
      </c>
      <c r="L16" s="271">
        <f>0</f>
        <v>0</v>
      </c>
      <c r="M16" s="379">
        <f>0</f>
        <v>0</v>
      </c>
      <c r="N16" s="396">
        <f>SUM(B16:M16)</f>
        <v>0</v>
      </c>
      <c r="O16" s="397">
        <v>0</v>
      </c>
      <c r="P16" s="271"/>
      <c r="Q16" s="274"/>
      <c r="R16" s="398"/>
      <c r="S16" s="477"/>
    </row>
    <row r="17" spans="1:19" s="368" customFormat="1" ht="13">
      <c r="A17" s="419" t="s">
        <v>125</v>
      </c>
      <c r="B17" s="276">
        <f>SUM(B14:B16)</f>
        <v>0</v>
      </c>
      <c r="C17" s="276">
        <f t="shared" ref="C17:M17" si="3">SUM(C14:C16)</f>
        <v>0</v>
      </c>
      <c r="D17" s="276">
        <f t="shared" si="3"/>
        <v>0</v>
      </c>
      <c r="E17" s="276">
        <f t="shared" si="3"/>
        <v>0</v>
      </c>
      <c r="F17" s="276">
        <f t="shared" si="3"/>
        <v>27000</v>
      </c>
      <c r="G17" s="276">
        <f t="shared" si="3"/>
        <v>17000</v>
      </c>
      <c r="H17" s="276">
        <f t="shared" si="3"/>
        <v>27000</v>
      </c>
      <c r="I17" s="276">
        <f t="shared" si="3"/>
        <v>17000</v>
      </c>
      <c r="J17" s="276">
        <f t="shared" si="3"/>
        <v>27000</v>
      </c>
      <c r="K17" s="276">
        <f t="shared" si="3"/>
        <v>17000</v>
      </c>
      <c r="L17" s="276">
        <f t="shared" si="3"/>
        <v>0</v>
      </c>
      <c r="M17" s="380">
        <f t="shared" si="3"/>
        <v>0</v>
      </c>
      <c r="N17" s="439">
        <f>SUM(B17:M17)</f>
        <v>132000</v>
      </c>
      <c r="O17" s="440">
        <f>SUM(O14:O16)</f>
        <v>132000</v>
      </c>
      <c r="P17" s="276"/>
      <c r="Q17" s="276"/>
      <c r="R17" s="441"/>
      <c r="S17" s="478"/>
    </row>
    <row r="18" spans="1:19" s="267" customFormat="1" ht="12" customHeight="1">
      <c r="A18" s="420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384"/>
      <c r="N18" s="396"/>
      <c r="O18" s="397"/>
      <c r="P18" s="272"/>
      <c r="Q18" s="274"/>
      <c r="R18" s="398"/>
      <c r="S18" s="477"/>
    </row>
    <row r="19" spans="1:19" s="267" customFormat="1" ht="13">
      <c r="A19" s="419" t="s">
        <v>27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379"/>
      <c r="N19" s="396"/>
      <c r="O19" s="397"/>
      <c r="P19" s="271"/>
      <c r="Q19" s="274"/>
      <c r="R19" s="398"/>
      <c r="S19" s="477"/>
    </row>
    <row r="20" spans="1:19" s="267" customFormat="1" ht="13">
      <c r="A20" s="420" t="s">
        <v>126</v>
      </c>
      <c r="B20" s="278">
        <f>0</f>
        <v>0</v>
      </c>
      <c r="C20" s="271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379">
        <f>0</f>
        <v>0</v>
      </c>
      <c r="N20" s="396">
        <f>SUM(B20:M20)</f>
        <v>0</v>
      </c>
      <c r="O20" s="397">
        <v>0</v>
      </c>
      <c r="P20" s="271">
        <v>-651.64999999999986</v>
      </c>
      <c r="Q20" s="274">
        <f t="shared" si="1"/>
        <v>651.64999999999986</v>
      </c>
      <c r="R20" s="398"/>
      <c r="S20" s="477"/>
    </row>
    <row r="21" spans="1:19" s="267" customFormat="1" ht="13">
      <c r="A21" s="420" t="s">
        <v>127</v>
      </c>
      <c r="B21" s="576">
        <v>350</v>
      </c>
      <c r="C21" s="286">
        <v>350</v>
      </c>
      <c r="D21" s="286">
        <v>350</v>
      </c>
      <c r="E21" s="286">
        <v>350</v>
      </c>
      <c r="F21" s="286">
        <v>350</v>
      </c>
      <c r="G21" s="286">
        <v>350</v>
      </c>
      <c r="H21" s="286">
        <v>350</v>
      </c>
      <c r="I21" s="286">
        <v>350</v>
      </c>
      <c r="J21" s="286">
        <v>350</v>
      </c>
      <c r="K21" s="286">
        <v>350</v>
      </c>
      <c r="L21" s="286">
        <v>350</v>
      </c>
      <c r="M21" s="378">
        <v>350</v>
      </c>
      <c r="N21" s="396">
        <f>SUM(B21:M21)</f>
        <v>4200</v>
      </c>
      <c r="O21" s="397">
        <v>4200</v>
      </c>
      <c r="P21" s="274"/>
      <c r="Q21" s="274">
        <f t="shared" si="1"/>
        <v>4200</v>
      </c>
      <c r="R21" s="398"/>
      <c r="S21" s="477"/>
    </row>
    <row r="22" spans="1:19" s="267" customFormat="1" ht="13">
      <c r="A22" s="420" t="s">
        <v>128</v>
      </c>
      <c r="B22" s="278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385"/>
      <c r="N22" s="396">
        <f>SUM(B22:M22)</f>
        <v>0</v>
      </c>
      <c r="O22" s="397">
        <v>0</v>
      </c>
      <c r="P22" s="274"/>
      <c r="Q22" s="274">
        <f t="shared" si="1"/>
        <v>0</v>
      </c>
      <c r="R22" s="398"/>
      <c r="S22" s="477"/>
    </row>
    <row r="23" spans="1:19" s="267" customFormat="1" ht="13">
      <c r="A23" s="422" t="s">
        <v>29</v>
      </c>
      <c r="B23" s="276">
        <f>SUM(B19:B22)</f>
        <v>350</v>
      </c>
      <c r="C23" s="276">
        <f>SUM(C20:C22)</f>
        <v>350</v>
      </c>
      <c r="D23" s="276">
        <f t="shared" ref="D23:M23" si="4">SUM(D20:D22)</f>
        <v>350</v>
      </c>
      <c r="E23" s="276">
        <f t="shared" si="4"/>
        <v>350</v>
      </c>
      <c r="F23" s="276">
        <f t="shared" si="4"/>
        <v>350</v>
      </c>
      <c r="G23" s="276">
        <f t="shared" si="4"/>
        <v>350</v>
      </c>
      <c r="H23" s="276">
        <f>SUM(H19:H22)</f>
        <v>350</v>
      </c>
      <c r="I23" s="276">
        <f t="shared" si="4"/>
        <v>350</v>
      </c>
      <c r="J23" s="276">
        <f t="shared" si="4"/>
        <v>350</v>
      </c>
      <c r="K23" s="276">
        <f t="shared" si="4"/>
        <v>350</v>
      </c>
      <c r="L23" s="276">
        <f t="shared" si="4"/>
        <v>350</v>
      </c>
      <c r="M23" s="380">
        <f t="shared" si="4"/>
        <v>350</v>
      </c>
      <c r="N23" s="439">
        <f>SUM(B23:M23)</f>
        <v>4200</v>
      </c>
      <c r="O23" s="440">
        <f>SUM(O20:O22)</f>
        <v>4200</v>
      </c>
      <c r="P23" s="276">
        <v>-651.64999999999986</v>
      </c>
      <c r="Q23" s="276">
        <f t="shared" si="1"/>
        <v>4851.6499999999996</v>
      </c>
      <c r="R23" s="441"/>
      <c r="S23" s="477"/>
    </row>
    <row r="24" spans="1:19" s="267" customFormat="1" ht="6" customHeight="1">
      <c r="A24" s="420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384"/>
      <c r="N24" s="396"/>
      <c r="O24" s="397"/>
      <c r="P24" s="133"/>
      <c r="Q24" s="133"/>
      <c r="R24" s="398"/>
      <c r="S24" s="477"/>
    </row>
    <row r="25" spans="1:19" s="267" customFormat="1" ht="13">
      <c r="A25" s="419" t="s">
        <v>30</v>
      </c>
      <c r="B25" s="278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379"/>
      <c r="N25" s="396"/>
      <c r="O25" s="397"/>
      <c r="P25" s="133"/>
      <c r="Q25" s="133"/>
      <c r="R25" s="398"/>
      <c r="S25" s="477"/>
    </row>
    <row r="26" spans="1:19" s="267" customFormat="1" ht="13">
      <c r="A26" s="420" t="s">
        <v>31</v>
      </c>
      <c r="B26" s="278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379">
        <v>0</v>
      </c>
      <c r="N26" s="396">
        <f t="shared" ref="N26:N44" si="5">SUM(B26:M26)</f>
        <v>0</v>
      </c>
      <c r="O26" s="397">
        <v>0</v>
      </c>
      <c r="P26" s="271">
        <v>6.1899999999999995</v>
      </c>
      <c r="Q26" s="274">
        <f>N26-P26</f>
        <v>-6.1899999999999995</v>
      </c>
      <c r="R26" s="398"/>
      <c r="S26" s="477"/>
    </row>
    <row r="27" spans="1:19" s="267" customFormat="1" ht="13">
      <c r="A27" s="420" t="s">
        <v>129</v>
      </c>
      <c r="B27" s="278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379">
        <v>0</v>
      </c>
      <c r="N27" s="396">
        <f t="shared" si="5"/>
        <v>0</v>
      </c>
      <c r="O27" s="397">
        <v>0</v>
      </c>
      <c r="P27" s="271">
        <v>288.74999999999994</v>
      </c>
      <c r="Q27" s="274">
        <f t="shared" ref="Q27:Q44" si="6">N27-P27</f>
        <v>-288.74999999999994</v>
      </c>
      <c r="R27" s="398"/>
      <c r="S27" s="477"/>
    </row>
    <row r="28" spans="1:19" s="267" customFormat="1" ht="13">
      <c r="A28" s="420" t="s">
        <v>130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379">
        <v>0</v>
      </c>
      <c r="N28" s="396">
        <f t="shared" si="5"/>
        <v>0</v>
      </c>
      <c r="O28" s="397">
        <v>0</v>
      </c>
      <c r="P28" s="271"/>
      <c r="Q28" s="274">
        <f t="shared" si="6"/>
        <v>0</v>
      </c>
      <c r="R28" s="398"/>
      <c r="S28" s="477"/>
    </row>
    <row r="29" spans="1:19" s="267" customFormat="1" ht="13" hidden="1">
      <c r="A29" s="420" t="s">
        <v>131</v>
      </c>
      <c r="B29" s="278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379"/>
      <c r="N29" s="396">
        <f t="shared" si="5"/>
        <v>0</v>
      </c>
      <c r="O29" s="397">
        <v>0</v>
      </c>
      <c r="P29" s="271">
        <v>152400.04</v>
      </c>
      <c r="Q29" s="274">
        <f t="shared" si="6"/>
        <v>-152400.04</v>
      </c>
      <c r="R29" s="398"/>
      <c r="S29" s="477"/>
    </row>
    <row r="30" spans="1:19" s="267" customFormat="1" ht="13" hidden="1">
      <c r="A30" s="420" t="s">
        <v>132</v>
      </c>
      <c r="B30" s="278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379"/>
      <c r="N30" s="396">
        <f t="shared" si="5"/>
        <v>0</v>
      </c>
      <c r="O30" s="397">
        <v>0</v>
      </c>
      <c r="P30" s="271">
        <v>0</v>
      </c>
      <c r="Q30" s="274">
        <f t="shared" si="6"/>
        <v>0</v>
      </c>
      <c r="R30" s="398"/>
      <c r="S30" s="477"/>
    </row>
    <row r="31" spans="1:19" s="267" customFormat="1" ht="13" hidden="1">
      <c r="A31" s="420" t="s">
        <v>133</v>
      </c>
      <c r="B31" s="278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379"/>
      <c r="N31" s="396">
        <f t="shared" si="5"/>
        <v>0</v>
      </c>
      <c r="O31" s="397">
        <v>0</v>
      </c>
      <c r="P31" s="271">
        <v>132000</v>
      </c>
      <c r="Q31" s="274">
        <f t="shared" si="6"/>
        <v>-132000</v>
      </c>
      <c r="R31" s="398"/>
      <c r="S31" s="477"/>
    </row>
    <row r="32" spans="1:19" s="267" customFormat="1" ht="13">
      <c r="A32" s="420" t="s">
        <v>39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379"/>
      <c r="N32" s="396"/>
      <c r="O32" s="397"/>
      <c r="P32" s="271">
        <v>99794.28</v>
      </c>
      <c r="Q32" s="274">
        <f t="shared" si="6"/>
        <v>-99794.28</v>
      </c>
      <c r="R32" s="398"/>
      <c r="S32" s="477"/>
    </row>
    <row r="33" spans="1:22" s="267" customFormat="1" ht="13">
      <c r="A33" s="420" t="s">
        <v>134</v>
      </c>
      <c r="B33" s="278">
        <v>600</v>
      </c>
      <c r="C33" s="278">
        <v>600</v>
      </c>
      <c r="D33" s="278">
        <v>600</v>
      </c>
      <c r="E33" s="278">
        <v>600</v>
      </c>
      <c r="F33" s="278">
        <v>600</v>
      </c>
      <c r="G33" s="278">
        <v>600</v>
      </c>
      <c r="H33" s="278">
        <v>600</v>
      </c>
      <c r="I33" s="278">
        <v>600</v>
      </c>
      <c r="J33" s="278">
        <v>600</v>
      </c>
      <c r="K33" s="278">
        <v>600</v>
      </c>
      <c r="L33" s="278">
        <v>600</v>
      </c>
      <c r="M33" s="278">
        <v>600</v>
      </c>
      <c r="N33" s="396">
        <f t="shared" ref="N33:N38" si="7">SUM(B33:M33)</f>
        <v>7200</v>
      </c>
      <c r="O33" s="397">
        <v>7200</v>
      </c>
      <c r="P33" s="271"/>
      <c r="Q33" s="274"/>
      <c r="R33" s="398"/>
      <c r="S33" s="477"/>
    </row>
    <row r="34" spans="1:22" s="267" customFormat="1" ht="13">
      <c r="A34" s="420" t="s">
        <v>135</v>
      </c>
      <c r="B34" s="278">
        <v>2100</v>
      </c>
      <c r="C34" s="278">
        <v>2100</v>
      </c>
      <c r="D34" s="278">
        <v>2100</v>
      </c>
      <c r="E34" s="278">
        <v>2100</v>
      </c>
      <c r="F34" s="278">
        <v>2100</v>
      </c>
      <c r="G34" s="278">
        <v>2100</v>
      </c>
      <c r="H34" s="278">
        <v>2100</v>
      </c>
      <c r="I34" s="278">
        <v>2100</v>
      </c>
      <c r="J34" s="278">
        <v>2100</v>
      </c>
      <c r="K34" s="278">
        <v>2100</v>
      </c>
      <c r="L34" s="278">
        <v>2100</v>
      </c>
      <c r="M34" s="379">
        <v>2100</v>
      </c>
      <c r="N34" s="396">
        <f t="shared" si="7"/>
        <v>25200</v>
      </c>
      <c r="O34" s="397">
        <v>25200</v>
      </c>
      <c r="P34" s="271"/>
      <c r="Q34" s="274"/>
      <c r="R34" s="398"/>
      <c r="S34" s="477"/>
    </row>
    <row r="35" spans="1:22" s="499" customFormat="1" ht="55" customHeight="1">
      <c r="A35" s="491" t="s">
        <v>136</v>
      </c>
      <c r="B35" s="492">
        <v>87000</v>
      </c>
      <c r="C35" s="493">
        <v>92000</v>
      </c>
      <c r="D35" s="493">
        <v>96000</v>
      </c>
      <c r="E35" s="493">
        <v>101000</v>
      </c>
      <c r="F35" s="493">
        <v>111000</v>
      </c>
      <c r="G35" s="493">
        <v>122000</v>
      </c>
      <c r="H35" s="493">
        <v>135000</v>
      </c>
      <c r="I35" s="493">
        <v>148000</v>
      </c>
      <c r="J35" s="493">
        <v>163000</v>
      </c>
      <c r="K35" s="493">
        <v>187000</v>
      </c>
      <c r="L35" s="493">
        <v>216000</v>
      </c>
      <c r="M35" s="494">
        <v>248000</v>
      </c>
      <c r="N35" s="495">
        <f t="shared" si="7"/>
        <v>1706000</v>
      </c>
      <c r="O35" s="496">
        <v>1706000</v>
      </c>
      <c r="P35" s="493"/>
      <c r="Q35" s="497"/>
      <c r="R35" s="498"/>
      <c r="S35" s="477" t="s">
        <v>219</v>
      </c>
    </row>
    <row r="36" spans="1:22" s="267" customFormat="1" ht="13">
      <c r="A36" s="420" t="s">
        <v>137</v>
      </c>
      <c r="B36" s="278">
        <v>12600</v>
      </c>
      <c r="C36" s="278">
        <v>12600</v>
      </c>
      <c r="D36" s="278">
        <v>12600</v>
      </c>
      <c r="E36" s="278">
        <v>12600</v>
      </c>
      <c r="F36" s="278">
        <v>12600</v>
      </c>
      <c r="G36" s="278">
        <v>12600</v>
      </c>
      <c r="H36" s="278">
        <v>12600</v>
      </c>
      <c r="I36" s="278">
        <v>12600</v>
      </c>
      <c r="J36" s="278">
        <v>12600</v>
      </c>
      <c r="K36" s="278">
        <v>12600</v>
      </c>
      <c r="L36" s="278">
        <v>12600</v>
      </c>
      <c r="M36" s="379">
        <v>12600</v>
      </c>
      <c r="N36" s="396">
        <f t="shared" si="7"/>
        <v>151200</v>
      </c>
      <c r="O36" s="397">
        <v>151200</v>
      </c>
      <c r="P36" s="271">
        <v>15873</v>
      </c>
      <c r="Q36" s="274">
        <f t="shared" si="6"/>
        <v>135327</v>
      </c>
      <c r="R36" s="398"/>
      <c r="S36" s="477"/>
    </row>
    <row r="37" spans="1:22" s="267" customFormat="1" ht="13">
      <c r="A37" s="420" t="s">
        <v>138</v>
      </c>
      <c r="B37" s="278">
        <v>0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78">
        <v>87000</v>
      </c>
      <c r="I37" s="271">
        <v>0</v>
      </c>
      <c r="J37" s="271">
        <v>0</v>
      </c>
      <c r="K37" s="271">
        <v>87000</v>
      </c>
      <c r="L37" s="271">
        <v>0</v>
      </c>
      <c r="M37" s="379">
        <v>0</v>
      </c>
      <c r="N37" s="396">
        <f t="shared" si="7"/>
        <v>174000</v>
      </c>
      <c r="O37" s="397">
        <v>174000</v>
      </c>
      <c r="P37" s="271"/>
      <c r="Q37" s="274"/>
      <c r="R37" s="398"/>
      <c r="S37" s="477"/>
    </row>
    <row r="38" spans="1:22" s="267" customFormat="1" ht="13">
      <c r="A38" s="420" t="s">
        <v>139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379">
        <v>0</v>
      </c>
      <c r="N38" s="396">
        <f t="shared" si="7"/>
        <v>0</v>
      </c>
      <c r="O38" s="397">
        <v>0</v>
      </c>
      <c r="P38" s="271"/>
      <c r="Q38" s="274">
        <f>N38-P38</f>
        <v>0</v>
      </c>
      <c r="R38" s="398"/>
      <c r="S38" s="477"/>
    </row>
    <row r="39" spans="1:22" s="267" customFormat="1" ht="12">
      <c r="A39" s="420"/>
      <c r="B39" s="278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379"/>
      <c r="N39" s="396"/>
      <c r="O39" s="397"/>
      <c r="P39" s="271"/>
      <c r="Q39" s="274"/>
      <c r="R39" s="398"/>
      <c r="S39" s="477"/>
    </row>
    <row r="40" spans="1:22" s="267" customFormat="1" ht="13">
      <c r="A40" s="420" t="s">
        <v>140</v>
      </c>
      <c r="B40" s="367">
        <v>0</v>
      </c>
      <c r="C40" s="278">
        <v>0</v>
      </c>
      <c r="D40" s="271">
        <v>-10000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-10000</v>
      </c>
      <c r="K40" s="271">
        <v>0</v>
      </c>
      <c r="L40" s="271">
        <v>0</v>
      </c>
      <c r="M40" s="379">
        <v>0</v>
      </c>
      <c r="N40" s="396">
        <f>SUM(B40:M40)</f>
        <v>-20000</v>
      </c>
      <c r="O40" s="397">
        <v>-20000</v>
      </c>
      <c r="P40" s="271"/>
      <c r="Q40" s="274"/>
      <c r="R40" s="398"/>
      <c r="S40" s="477"/>
    </row>
    <row r="41" spans="1:22" s="267" customFormat="1" ht="13">
      <c r="A41" s="420" t="s">
        <v>141</v>
      </c>
      <c r="B41" s="278">
        <v>0</v>
      </c>
      <c r="C41" s="278">
        <v>0</v>
      </c>
      <c r="D41" s="278">
        <v>0</v>
      </c>
      <c r="E41" s="278">
        <v>0</v>
      </c>
      <c r="F41" s="271">
        <v>0</v>
      </c>
      <c r="G41" s="271">
        <v>7500</v>
      </c>
      <c r="H41" s="271">
        <v>0</v>
      </c>
      <c r="I41" s="271">
        <v>0</v>
      </c>
      <c r="J41" s="271">
        <v>7500</v>
      </c>
      <c r="K41" s="271">
        <v>0</v>
      </c>
      <c r="L41" s="271">
        <v>0</v>
      </c>
      <c r="M41" s="379">
        <v>7500</v>
      </c>
      <c r="N41" s="396">
        <f t="shared" si="5"/>
        <v>22500</v>
      </c>
      <c r="O41" s="397">
        <v>22500</v>
      </c>
      <c r="P41" s="271"/>
      <c r="Q41" s="274">
        <f t="shared" si="6"/>
        <v>22500</v>
      </c>
      <c r="R41" s="398"/>
      <c r="S41" s="477"/>
    </row>
    <row r="42" spans="1:22" s="267" customFormat="1" ht="13">
      <c r="A42" s="420" t="s">
        <v>142</v>
      </c>
      <c r="B42" s="278">
        <v>600</v>
      </c>
      <c r="C42" s="278">
        <v>600</v>
      </c>
      <c r="D42" s="278">
        <v>600</v>
      </c>
      <c r="E42" s="278">
        <v>600</v>
      </c>
      <c r="F42" s="278">
        <v>600</v>
      </c>
      <c r="G42" s="278">
        <v>600</v>
      </c>
      <c r="H42" s="278">
        <v>1100</v>
      </c>
      <c r="I42" s="278">
        <v>600</v>
      </c>
      <c r="J42" s="278">
        <v>600</v>
      </c>
      <c r="K42" s="278">
        <v>1100</v>
      </c>
      <c r="L42" s="278">
        <v>600</v>
      </c>
      <c r="M42" s="379">
        <v>600</v>
      </c>
      <c r="N42" s="396">
        <f>SUM(B42:M42)</f>
        <v>8200</v>
      </c>
      <c r="O42" s="397">
        <v>8200</v>
      </c>
      <c r="P42" s="278"/>
      <c r="Q42" s="286"/>
      <c r="R42" s="403"/>
      <c r="S42" s="479"/>
      <c r="T42" s="369"/>
      <c r="U42" s="369"/>
      <c r="V42" s="369"/>
    </row>
    <row r="43" spans="1:22" s="267" customFormat="1" ht="13">
      <c r="A43" s="420" t="s">
        <v>41</v>
      </c>
      <c r="B43" s="278">
        <f>0</f>
        <v>0</v>
      </c>
      <c r="C43" s="271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379">
        <f>0</f>
        <v>0</v>
      </c>
      <c r="N43" s="396">
        <f t="shared" si="5"/>
        <v>0</v>
      </c>
      <c r="O43" s="397">
        <v>0</v>
      </c>
      <c r="P43" s="271">
        <v>700</v>
      </c>
      <c r="Q43" s="274">
        <f t="shared" si="6"/>
        <v>-700</v>
      </c>
      <c r="R43" s="398"/>
      <c r="S43" s="477"/>
    </row>
    <row r="44" spans="1:22" s="438" customFormat="1" ht="13">
      <c r="A44" s="437" t="s">
        <v>42</v>
      </c>
      <c r="B44" s="276">
        <f t="shared" ref="B44:M44" si="8">SUM(B26:B43)</f>
        <v>102900</v>
      </c>
      <c r="C44" s="276">
        <f t="shared" si="8"/>
        <v>107900</v>
      </c>
      <c r="D44" s="276">
        <f t="shared" si="8"/>
        <v>101900</v>
      </c>
      <c r="E44" s="276">
        <f t="shared" si="8"/>
        <v>116900</v>
      </c>
      <c r="F44" s="276">
        <f t="shared" si="8"/>
        <v>126900</v>
      </c>
      <c r="G44" s="276">
        <f t="shared" si="8"/>
        <v>145400</v>
      </c>
      <c r="H44" s="276">
        <f t="shared" si="8"/>
        <v>238400</v>
      </c>
      <c r="I44" s="276">
        <f t="shared" si="8"/>
        <v>163900</v>
      </c>
      <c r="J44" s="276">
        <f t="shared" si="8"/>
        <v>176400</v>
      </c>
      <c r="K44" s="276">
        <f t="shared" si="8"/>
        <v>290400</v>
      </c>
      <c r="L44" s="276">
        <f t="shared" si="8"/>
        <v>231900</v>
      </c>
      <c r="M44" s="380">
        <f t="shared" si="8"/>
        <v>271400</v>
      </c>
      <c r="N44" s="439">
        <f t="shared" si="5"/>
        <v>2074300</v>
      </c>
      <c r="O44" s="440">
        <f>SUM(O26:O43)</f>
        <v>2074300</v>
      </c>
      <c r="P44" s="276">
        <v>401062.26</v>
      </c>
      <c r="Q44" s="276">
        <f t="shared" si="6"/>
        <v>1673237.74</v>
      </c>
      <c r="R44" s="441"/>
      <c r="S44" s="480"/>
    </row>
    <row r="45" spans="1:22" s="267" customFormat="1" ht="6" customHeight="1">
      <c r="A45" s="419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384"/>
      <c r="N45" s="396"/>
      <c r="O45" s="397"/>
      <c r="P45" s="133"/>
      <c r="Q45" s="133"/>
      <c r="R45" s="398"/>
      <c r="S45" s="477"/>
    </row>
    <row r="46" spans="1:22" s="267" customFormat="1" ht="13">
      <c r="A46" s="420" t="s">
        <v>43</v>
      </c>
      <c r="B46" s="367">
        <v>-3000</v>
      </c>
      <c r="C46" s="278">
        <v>-3000</v>
      </c>
      <c r="D46" s="278">
        <v>-3000</v>
      </c>
      <c r="E46" s="271">
        <v>-4000</v>
      </c>
      <c r="F46" s="271">
        <v>-4000</v>
      </c>
      <c r="G46" s="271">
        <v>-5000</v>
      </c>
      <c r="H46" s="271">
        <v>-7000</v>
      </c>
      <c r="I46" s="271">
        <v>-5000</v>
      </c>
      <c r="J46" s="271">
        <v>-5000</v>
      </c>
      <c r="K46" s="271">
        <v>-7000</v>
      </c>
      <c r="L46" s="271">
        <v>-9000</v>
      </c>
      <c r="M46" s="379">
        <v>-7000</v>
      </c>
      <c r="N46" s="396">
        <f>SUM(B46:M46)</f>
        <v>-62000</v>
      </c>
      <c r="O46" s="399">
        <v>-62000</v>
      </c>
      <c r="P46" s="271">
        <v>0</v>
      </c>
      <c r="Q46" s="274">
        <f>N46-P46</f>
        <v>-62000</v>
      </c>
      <c r="R46" s="398"/>
      <c r="S46" s="477" t="s">
        <v>220</v>
      </c>
    </row>
    <row r="47" spans="1:22" s="267" customFormat="1" ht="14" thickBot="1">
      <c r="A47" s="420" t="s">
        <v>143</v>
      </c>
      <c r="B47" s="278">
        <f>0</f>
        <v>0</v>
      </c>
      <c r="C47" s="271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379">
        <f>0</f>
        <v>0</v>
      </c>
      <c r="N47" s="396">
        <f>SUM(B47:M47)</f>
        <v>0</v>
      </c>
      <c r="O47" s="397">
        <v>0</v>
      </c>
      <c r="P47" s="271">
        <v>0</v>
      </c>
      <c r="Q47" s="274">
        <f>N47-P47</f>
        <v>0</v>
      </c>
      <c r="R47" s="403"/>
      <c r="S47" s="477"/>
    </row>
    <row r="48" spans="1:22" s="452" customFormat="1" ht="22" customHeight="1" thickTop="1">
      <c r="A48" s="445" t="s">
        <v>45</v>
      </c>
      <c r="B48" s="446">
        <f t="shared" ref="B48:M48" si="9">(((((B11)+(B17))+(B23))+(B44))+(B46))+(B47)</f>
        <v>117100</v>
      </c>
      <c r="C48" s="446">
        <f t="shared" si="9"/>
        <v>111800</v>
      </c>
      <c r="D48" s="446">
        <f t="shared" si="9"/>
        <v>106750</v>
      </c>
      <c r="E48" s="446">
        <f t="shared" si="9"/>
        <v>121700</v>
      </c>
      <c r="F48" s="446">
        <f t="shared" si="9"/>
        <v>170200</v>
      </c>
      <c r="G48" s="446">
        <f t="shared" si="9"/>
        <v>184350</v>
      </c>
      <c r="H48" s="446">
        <f t="shared" si="9"/>
        <v>266600</v>
      </c>
      <c r="I48" s="446">
        <f t="shared" si="9"/>
        <v>213100</v>
      </c>
      <c r="J48" s="446">
        <f t="shared" si="9"/>
        <v>214400</v>
      </c>
      <c r="K48" s="446">
        <f t="shared" si="9"/>
        <v>403100</v>
      </c>
      <c r="L48" s="446">
        <f t="shared" si="9"/>
        <v>249500</v>
      </c>
      <c r="M48" s="447">
        <f t="shared" si="9"/>
        <v>313500</v>
      </c>
      <c r="N48" s="448">
        <f>SUM(B48:M48)</f>
        <v>2472100</v>
      </c>
      <c r="O48" s="449">
        <f>SUM(O11,O17,O23,O44,O46,O47)</f>
        <v>2472100</v>
      </c>
      <c r="P48" s="446">
        <v>1179776.3799999999</v>
      </c>
      <c r="Q48" s="450">
        <f>N48-P48</f>
        <v>1292323.6200000001</v>
      </c>
      <c r="R48" s="451"/>
      <c r="S48" s="481"/>
    </row>
    <row r="49" spans="1:19" s="267" customFormat="1" ht="38" customHeight="1">
      <c r="A49" s="545" t="s">
        <v>221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384"/>
      <c r="N49" s="396"/>
      <c r="O49" s="397"/>
      <c r="P49" s="370"/>
      <c r="Q49" s="370"/>
      <c r="R49" s="403"/>
      <c r="S49" s="477"/>
    </row>
    <row r="50" spans="1:19" s="267" customFormat="1" ht="12">
      <c r="A50" s="547"/>
      <c r="B50" s="413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387"/>
      <c r="N50" s="396"/>
      <c r="O50" s="397"/>
      <c r="P50" s="133"/>
      <c r="Q50" s="133"/>
      <c r="R50" s="398"/>
      <c r="S50" s="477"/>
    </row>
    <row r="51" spans="1:19" s="267" customFormat="1" ht="13">
      <c r="A51" s="419" t="s">
        <v>144</v>
      </c>
      <c r="B51" s="278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379"/>
      <c r="N51" s="396"/>
      <c r="O51" s="397"/>
      <c r="P51" s="133"/>
      <c r="Q51" s="133"/>
      <c r="R51" s="398"/>
      <c r="S51" s="477"/>
    </row>
    <row r="52" spans="1:19" s="267" customFormat="1" ht="13">
      <c r="A52" s="420" t="s">
        <v>48</v>
      </c>
      <c r="B52" s="278">
        <v>400</v>
      </c>
      <c r="C52" s="278">
        <v>400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379">
        <v>400</v>
      </c>
      <c r="N52" s="396">
        <f t="shared" ref="N52:N60" si="10">SUM(B52:M52)</f>
        <v>4800</v>
      </c>
      <c r="O52" s="397">
        <v>4800</v>
      </c>
      <c r="P52" s="271">
        <v>3875.12</v>
      </c>
      <c r="Q52" s="274">
        <f>N52-P52</f>
        <v>924.88000000000011</v>
      </c>
      <c r="R52" s="398"/>
      <c r="S52" s="477"/>
    </row>
    <row r="53" spans="1:19" s="267" customFormat="1" ht="13">
      <c r="A53" s="420" t="s">
        <v>145</v>
      </c>
      <c r="B53" s="278">
        <v>1000</v>
      </c>
      <c r="C53" s="278">
        <v>20000</v>
      </c>
      <c r="D53" s="278">
        <v>1000</v>
      </c>
      <c r="E53" s="278">
        <v>1000</v>
      </c>
      <c r="F53" s="278">
        <v>1000</v>
      </c>
      <c r="G53" s="278">
        <v>1000</v>
      </c>
      <c r="H53" s="278">
        <v>1000</v>
      </c>
      <c r="I53" s="278">
        <v>1000</v>
      </c>
      <c r="J53" s="278">
        <v>1000</v>
      </c>
      <c r="K53" s="278">
        <v>1000</v>
      </c>
      <c r="L53" s="278">
        <v>1000</v>
      </c>
      <c r="M53" s="379">
        <v>8000</v>
      </c>
      <c r="N53" s="396">
        <f t="shared" si="10"/>
        <v>38000</v>
      </c>
      <c r="O53" s="397">
        <v>38000</v>
      </c>
      <c r="P53" s="271">
        <v>20722.400000000001</v>
      </c>
      <c r="Q53" s="274">
        <f t="shared" ref="Q53:Q60" si="11">N53-P53</f>
        <v>17277.599999999999</v>
      </c>
      <c r="R53" s="398"/>
      <c r="S53" s="477"/>
    </row>
    <row r="54" spans="1:19" s="267" customFormat="1" ht="13">
      <c r="A54" s="420" t="s">
        <v>146</v>
      </c>
      <c r="B54" s="278">
        <v>5000</v>
      </c>
      <c r="C54" s="278">
        <v>5000</v>
      </c>
      <c r="D54" s="278">
        <v>5000</v>
      </c>
      <c r="E54" s="278">
        <v>5000</v>
      </c>
      <c r="F54" s="278">
        <v>5000</v>
      </c>
      <c r="G54" s="278">
        <v>5000</v>
      </c>
      <c r="H54" s="278">
        <v>5000</v>
      </c>
      <c r="I54" s="278">
        <v>5000</v>
      </c>
      <c r="J54" s="278">
        <v>5000</v>
      </c>
      <c r="K54" s="278">
        <v>5000</v>
      </c>
      <c r="L54" s="278">
        <v>5000</v>
      </c>
      <c r="M54" s="379">
        <v>5000</v>
      </c>
      <c r="N54" s="396">
        <f t="shared" si="10"/>
        <v>60000</v>
      </c>
      <c r="O54" s="397">
        <v>60000</v>
      </c>
      <c r="P54" s="271">
        <v>24074</v>
      </c>
      <c r="Q54" s="274">
        <f t="shared" si="11"/>
        <v>35926</v>
      </c>
      <c r="R54" s="398"/>
      <c r="S54" s="477"/>
    </row>
    <row r="55" spans="1:19" s="267" customFormat="1" ht="13">
      <c r="A55" s="420" t="s">
        <v>147</v>
      </c>
      <c r="B55" s="278">
        <v>300</v>
      </c>
      <c r="C55" s="278">
        <v>300</v>
      </c>
      <c r="D55" s="278">
        <v>300</v>
      </c>
      <c r="E55" s="278">
        <v>300</v>
      </c>
      <c r="F55" s="278">
        <v>300</v>
      </c>
      <c r="G55" s="278">
        <v>300</v>
      </c>
      <c r="H55" s="278">
        <v>300</v>
      </c>
      <c r="I55" s="278">
        <v>300</v>
      </c>
      <c r="J55" s="278">
        <v>300</v>
      </c>
      <c r="K55" s="278">
        <v>300</v>
      </c>
      <c r="L55" s="278">
        <v>300</v>
      </c>
      <c r="M55" s="379">
        <v>300</v>
      </c>
      <c r="N55" s="396">
        <f t="shared" si="10"/>
        <v>3600</v>
      </c>
      <c r="O55" s="397">
        <v>3600</v>
      </c>
      <c r="P55" s="271">
        <v>4249.01</v>
      </c>
      <c r="Q55" s="274">
        <f t="shared" si="11"/>
        <v>-649.01000000000022</v>
      </c>
      <c r="R55" s="398"/>
      <c r="S55" s="477"/>
    </row>
    <row r="56" spans="1:19" s="267" customFormat="1" ht="13">
      <c r="A56" s="420" t="s">
        <v>148</v>
      </c>
      <c r="B56" s="278">
        <v>0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379">
        <v>0</v>
      </c>
      <c r="N56" s="396">
        <f t="shared" si="10"/>
        <v>3000</v>
      </c>
      <c r="O56" s="397">
        <v>3000</v>
      </c>
      <c r="P56" s="271">
        <v>924.58999999999992</v>
      </c>
      <c r="Q56" s="274">
        <f t="shared" si="11"/>
        <v>2075.41</v>
      </c>
      <c r="R56" s="398"/>
      <c r="S56" s="477"/>
    </row>
    <row r="57" spans="1:19" s="267" customFormat="1" ht="13">
      <c r="A57" s="420" t="s">
        <v>149</v>
      </c>
      <c r="B57" s="278">
        <v>500</v>
      </c>
      <c r="C57" s="278">
        <v>500</v>
      </c>
      <c r="D57" s="278">
        <v>500</v>
      </c>
      <c r="E57" s="278">
        <v>500</v>
      </c>
      <c r="F57" s="278">
        <v>500</v>
      </c>
      <c r="G57" s="278">
        <v>500</v>
      </c>
      <c r="H57" s="278">
        <v>500</v>
      </c>
      <c r="I57" s="278">
        <v>500</v>
      </c>
      <c r="J57" s="278">
        <v>500</v>
      </c>
      <c r="K57" s="278">
        <v>500</v>
      </c>
      <c r="L57" s="278">
        <v>500</v>
      </c>
      <c r="M57" s="379">
        <v>500</v>
      </c>
      <c r="N57" s="396">
        <f>SUM(B57:M57)</f>
        <v>6000</v>
      </c>
      <c r="O57" s="397">
        <v>6000</v>
      </c>
      <c r="P57" s="271"/>
      <c r="Q57" s="274">
        <f t="shared" si="11"/>
        <v>6000</v>
      </c>
      <c r="R57" s="398"/>
      <c r="S57" s="477"/>
    </row>
    <row r="58" spans="1:19" s="267" customFormat="1" ht="13">
      <c r="A58" s="420" t="s">
        <v>150</v>
      </c>
      <c r="B58" s="278">
        <v>3000</v>
      </c>
      <c r="C58" s="271">
        <v>11500</v>
      </c>
      <c r="D58" s="271">
        <v>3000</v>
      </c>
      <c r="E58" s="271">
        <v>11500</v>
      </c>
      <c r="F58" s="271">
        <v>6000</v>
      </c>
      <c r="G58" s="271">
        <v>1000</v>
      </c>
      <c r="H58" s="271">
        <v>11500</v>
      </c>
      <c r="I58" s="271">
        <v>11500</v>
      </c>
      <c r="J58" s="271">
        <v>18000</v>
      </c>
      <c r="K58" s="271">
        <v>38000</v>
      </c>
      <c r="L58" s="271">
        <v>3000</v>
      </c>
      <c r="M58" s="379">
        <v>5000</v>
      </c>
      <c r="N58" s="396">
        <f t="shared" si="10"/>
        <v>123000</v>
      </c>
      <c r="O58" s="397">
        <v>123000</v>
      </c>
      <c r="P58" s="271">
        <v>35418.75</v>
      </c>
      <c r="Q58" s="274">
        <f t="shared" si="11"/>
        <v>87581.25</v>
      </c>
      <c r="R58" s="398"/>
      <c r="S58" s="477"/>
    </row>
    <row r="59" spans="1:19" s="267" customFormat="1" ht="13">
      <c r="A59" s="420" t="s">
        <v>151</v>
      </c>
      <c r="B59" s="278">
        <v>0</v>
      </c>
      <c r="C59" s="271">
        <v>0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379">
        <v>0</v>
      </c>
      <c r="N59" s="396">
        <f t="shared" si="10"/>
        <v>3000</v>
      </c>
      <c r="O59" s="397">
        <v>3000</v>
      </c>
      <c r="P59" s="271">
        <v>2665.37</v>
      </c>
      <c r="Q59" s="274">
        <f t="shared" si="11"/>
        <v>334.63000000000011</v>
      </c>
      <c r="R59" s="398"/>
      <c r="S59" s="477"/>
    </row>
    <row r="60" spans="1:19" s="267" customFormat="1" ht="13">
      <c r="A60" s="423" t="s">
        <v>152</v>
      </c>
      <c r="B60" s="276">
        <f t="shared" ref="B60:M60" si="12">SUM(B52:B59)</f>
        <v>10200</v>
      </c>
      <c r="C60" s="276">
        <f t="shared" si="12"/>
        <v>37700</v>
      </c>
      <c r="D60" s="276">
        <f t="shared" si="12"/>
        <v>10200</v>
      </c>
      <c r="E60" s="276">
        <f t="shared" si="12"/>
        <v>18700</v>
      </c>
      <c r="F60" s="276">
        <f t="shared" si="12"/>
        <v>13200</v>
      </c>
      <c r="G60" s="276">
        <f t="shared" si="12"/>
        <v>8200</v>
      </c>
      <c r="H60" s="276">
        <f t="shared" si="12"/>
        <v>18700</v>
      </c>
      <c r="I60" s="276">
        <f t="shared" si="12"/>
        <v>21700</v>
      </c>
      <c r="J60" s="276">
        <f t="shared" si="12"/>
        <v>25200</v>
      </c>
      <c r="K60" s="276">
        <f t="shared" si="12"/>
        <v>48200</v>
      </c>
      <c r="L60" s="276">
        <f t="shared" si="12"/>
        <v>10200</v>
      </c>
      <c r="M60" s="380">
        <f t="shared" si="12"/>
        <v>19200</v>
      </c>
      <c r="N60" s="400">
        <f t="shared" si="10"/>
        <v>241400</v>
      </c>
      <c r="O60" s="401">
        <f>SUM(O52:O59)</f>
        <v>241400</v>
      </c>
      <c r="P60" s="276">
        <v>91929.239999999991</v>
      </c>
      <c r="Q60" s="276">
        <f t="shared" si="11"/>
        <v>149470.76</v>
      </c>
      <c r="R60" s="404"/>
      <c r="S60" s="477"/>
    </row>
    <row r="61" spans="1:19" s="267" customFormat="1" ht="6" customHeight="1">
      <c r="A61" s="419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384"/>
      <c r="N61" s="396"/>
      <c r="O61" s="397"/>
      <c r="P61" s="133"/>
      <c r="Q61" s="133"/>
      <c r="R61" s="398"/>
      <c r="S61" s="477"/>
    </row>
    <row r="62" spans="1:19" s="267" customFormat="1" ht="13">
      <c r="A62" s="419" t="s">
        <v>153</v>
      </c>
      <c r="B62" s="414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385"/>
      <c r="N62" s="396"/>
      <c r="O62" s="397"/>
      <c r="P62" s="133"/>
      <c r="Q62" s="133"/>
      <c r="R62" s="398"/>
      <c r="S62" s="477"/>
    </row>
    <row r="63" spans="1:19" s="267" customFormat="1" ht="13">
      <c r="A63" s="420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379"/>
      <c r="N63" s="405"/>
      <c r="O63" s="406"/>
      <c r="P63" s="271">
        <v>49969.65</v>
      </c>
      <c r="Q63" s="274">
        <f>N63-P63</f>
        <v>-49969.65</v>
      </c>
      <c r="R63" s="398"/>
      <c r="S63" s="477"/>
    </row>
    <row r="64" spans="1:19" s="267" customFormat="1" ht="13">
      <c r="A64" s="571" t="s">
        <v>155</v>
      </c>
      <c r="B64" s="278">
        <v>0</v>
      </c>
      <c r="C64" s="278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4000</v>
      </c>
      <c r="I64" s="278">
        <v>4000</v>
      </c>
      <c r="J64" s="278">
        <v>4000</v>
      </c>
      <c r="K64" s="278">
        <v>4000</v>
      </c>
      <c r="L64" s="278">
        <v>4000</v>
      </c>
      <c r="M64" s="278">
        <v>4000</v>
      </c>
      <c r="N64" s="405">
        <f>SUM(B64:M64)</f>
        <v>24000</v>
      </c>
      <c r="O64" s="397">
        <v>24000</v>
      </c>
      <c r="P64" s="271"/>
      <c r="Q64" s="274"/>
      <c r="R64" s="398"/>
      <c r="S64" s="477"/>
    </row>
    <row r="65" spans="1:22" s="267" customFormat="1" ht="13">
      <c r="A65" s="571" t="s">
        <v>156</v>
      </c>
      <c r="B65" s="278">
        <v>1100</v>
      </c>
      <c r="C65" s="278">
        <v>1100</v>
      </c>
      <c r="D65" s="278">
        <v>1100</v>
      </c>
      <c r="E65" s="278">
        <v>1100</v>
      </c>
      <c r="F65" s="278">
        <v>1100</v>
      </c>
      <c r="G65" s="278">
        <v>1100</v>
      </c>
      <c r="H65" s="278">
        <v>1100</v>
      </c>
      <c r="I65" s="278">
        <v>1100</v>
      </c>
      <c r="J65" s="278">
        <v>1100</v>
      </c>
      <c r="K65" s="278">
        <v>1100</v>
      </c>
      <c r="L65" s="278">
        <v>1100</v>
      </c>
      <c r="M65" s="379">
        <v>1100</v>
      </c>
      <c r="N65" s="396">
        <f t="shared" ref="N65:N74" si="13">SUM(B65:M65)</f>
        <v>13200</v>
      </c>
      <c r="O65" s="397">
        <v>13200</v>
      </c>
      <c r="P65" s="271"/>
      <c r="Q65" s="133"/>
      <c r="R65" s="398"/>
      <c r="S65" s="477"/>
    </row>
    <row r="66" spans="1:22" s="267" customFormat="1" ht="13">
      <c r="A66" s="571" t="s">
        <v>157</v>
      </c>
      <c r="B66" s="278">
        <v>3000</v>
      </c>
      <c r="C66" s="278">
        <v>3000</v>
      </c>
      <c r="D66" s="278">
        <v>3000</v>
      </c>
      <c r="E66" s="278">
        <v>3000</v>
      </c>
      <c r="F66" s="278">
        <v>3000</v>
      </c>
      <c r="G66" s="278">
        <v>3000</v>
      </c>
      <c r="H66" s="278">
        <v>3000</v>
      </c>
      <c r="I66" s="278">
        <v>3000</v>
      </c>
      <c r="J66" s="278">
        <v>3000</v>
      </c>
      <c r="K66" s="278">
        <v>3000</v>
      </c>
      <c r="L66" s="278">
        <v>3000</v>
      </c>
      <c r="M66" s="278">
        <v>3000</v>
      </c>
      <c r="N66" s="396">
        <f t="shared" si="13"/>
        <v>36000</v>
      </c>
      <c r="O66" s="397">
        <v>36000</v>
      </c>
      <c r="P66" s="271"/>
      <c r="Q66" s="133"/>
      <c r="R66" s="398"/>
      <c r="S66" s="477"/>
    </row>
    <row r="67" spans="1:22" s="267" customFormat="1" ht="13">
      <c r="A67" s="571" t="s">
        <v>159</v>
      </c>
      <c r="B67" s="278">
        <v>1000</v>
      </c>
      <c r="C67" s="278">
        <v>1000</v>
      </c>
      <c r="D67" s="278">
        <v>1000</v>
      </c>
      <c r="E67" s="278">
        <v>1000</v>
      </c>
      <c r="F67" s="278">
        <v>1000</v>
      </c>
      <c r="G67" s="278">
        <v>1000</v>
      </c>
      <c r="H67" s="278">
        <v>1000</v>
      </c>
      <c r="I67" s="278">
        <v>1000</v>
      </c>
      <c r="J67" s="278">
        <v>1000</v>
      </c>
      <c r="K67" s="278">
        <v>1000</v>
      </c>
      <c r="L67" s="278">
        <v>1000</v>
      </c>
      <c r="M67" s="379">
        <v>1000</v>
      </c>
      <c r="N67" s="396">
        <f t="shared" si="13"/>
        <v>12000</v>
      </c>
      <c r="O67" s="397">
        <v>12000</v>
      </c>
      <c r="P67" s="271"/>
      <c r="Q67" s="133"/>
      <c r="R67" s="398"/>
      <c r="S67" s="477"/>
    </row>
    <row r="68" spans="1:22" s="267" customFormat="1" ht="13">
      <c r="A68" s="571" t="s">
        <v>161</v>
      </c>
      <c r="B68" s="278">
        <v>5300</v>
      </c>
      <c r="C68" s="369">
        <v>0</v>
      </c>
      <c r="D68" s="369">
        <v>0</v>
      </c>
      <c r="E68" s="369">
        <v>0</v>
      </c>
      <c r="F68" s="369">
        <v>0</v>
      </c>
      <c r="G68" s="369">
        <v>0</v>
      </c>
      <c r="H68" s="369">
        <v>0</v>
      </c>
      <c r="I68" s="369">
        <v>0</v>
      </c>
      <c r="J68" s="369">
        <v>0</v>
      </c>
      <c r="K68" s="278">
        <v>11000</v>
      </c>
      <c r="L68" s="278">
        <v>0</v>
      </c>
      <c r="M68" s="379">
        <v>0</v>
      </c>
      <c r="N68" s="396">
        <f>SUM(B68:M68)</f>
        <v>16300</v>
      </c>
      <c r="O68" s="397">
        <v>16300</v>
      </c>
      <c r="P68" s="271"/>
      <c r="Q68" s="133"/>
      <c r="R68" s="398"/>
      <c r="S68" s="477"/>
    </row>
    <row r="69" spans="1:22" s="267" customFormat="1" ht="13">
      <c r="A69" s="571" t="s">
        <v>164</v>
      </c>
      <c r="B69" s="278">
        <v>1000</v>
      </c>
      <c r="C69" s="278">
        <v>1000</v>
      </c>
      <c r="D69" s="278">
        <v>1000</v>
      </c>
      <c r="E69" s="278">
        <v>1000</v>
      </c>
      <c r="F69" s="278">
        <v>1000</v>
      </c>
      <c r="G69" s="278">
        <v>1000</v>
      </c>
      <c r="H69" s="278">
        <v>1000</v>
      </c>
      <c r="I69" s="278">
        <v>1000</v>
      </c>
      <c r="J69" s="278">
        <v>1000</v>
      </c>
      <c r="K69" s="278">
        <v>1000</v>
      </c>
      <c r="L69" s="278">
        <v>1000</v>
      </c>
      <c r="M69" s="278">
        <v>1000</v>
      </c>
      <c r="N69" s="396">
        <f t="shared" si="13"/>
        <v>12000</v>
      </c>
      <c r="O69" s="397">
        <v>12000</v>
      </c>
      <c r="P69" s="271"/>
      <c r="Q69" s="275"/>
      <c r="R69" s="398"/>
      <c r="S69" s="477"/>
    </row>
    <row r="70" spans="1:22" s="267" customFormat="1" ht="13">
      <c r="A70" s="420" t="s">
        <v>165</v>
      </c>
      <c r="B70" s="278">
        <v>10000</v>
      </c>
      <c r="C70" s="278">
        <v>1000</v>
      </c>
      <c r="D70" s="278">
        <v>1000</v>
      </c>
      <c r="E70" s="278">
        <v>1000</v>
      </c>
      <c r="F70" s="278">
        <v>1000</v>
      </c>
      <c r="G70" s="278">
        <v>1000</v>
      </c>
      <c r="H70" s="278">
        <v>1000</v>
      </c>
      <c r="I70" s="278">
        <v>1000</v>
      </c>
      <c r="J70" s="278">
        <v>1000</v>
      </c>
      <c r="K70" s="278">
        <v>1000</v>
      </c>
      <c r="L70" s="278">
        <v>1000</v>
      </c>
      <c r="M70" s="379">
        <v>1000</v>
      </c>
      <c r="N70" s="396">
        <f t="shared" si="13"/>
        <v>21000</v>
      </c>
      <c r="O70" s="397">
        <v>21000</v>
      </c>
      <c r="P70" s="271">
        <v>40075.839999999997</v>
      </c>
      <c r="Q70" s="274">
        <f>N70-P70</f>
        <v>-19075.839999999997</v>
      </c>
      <c r="R70" s="398"/>
      <c r="S70" s="477"/>
    </row>
    <row r="71" spans="1:22" s="267" customFormat="1" ht="12" customHeight="1">
      <c r="A71" s="420" t="s">
        <v>166</v>
      </c>
      <c r="B71" s="278">
        <v>250</v>
      </c>
      <c r="C71" s="278">
        <v>250</v>
      </c>
      <c r="D71" s="278">
        <v>250</v>
      </c>
      <c r="E71" s="278">
        <v>250</v>
      </c>
      <c r="F71" s="278">
        <v>250</v>
      </c>
      <c r="G71" s="278">
        <v>250</v>
      </c>
      <c r="H71" s="278">
        <v>250</v>
      </c>
      <c r="I71" s="278">
        <v>250</v>
      </c>
      <c r="J71" s="278">
        <v>250</v>
      </c>
      <c r="K71" s="278">
        <v>250</v>
      </c>
      <c r="L71" s="278">
        <v>250</v>
      </c>
      <c r="M71" s="379">
        <v>250</v>
      </c>
      <c r="N71" s="396">
        <f t="shared" si="13"/>
        <v>3000</v>
      </c>
      <c r="O71" s="397">
        <v>3000</v>
      </c>
      <c r="P71" s="271">
        <v>6621.17</v>
      </c>
      <c r="Q71" s="274">
        <f t="shared" ref="Q71:Q75" si="14">N71-P71</f>
        <v>-3621.17</v>
      </c>
      <c r="R71" s="398"/>
      <c r="S71" s="477"/>
    </row>
    <row r="72" spans="1:22" s="267" customFormat="1" ht="13">
      <c r="A72" s="420" t="s">
        <v>168</v>
      </c>
      <c r="B72" s="278">
        <v>0</v>
      </c>
      <c r="C72" s="278">
        <v>0</v>
      </c>
      <c r="D72" s="278">
        <v>0</v>
      </c>
      <c r="E72" s="278">
        <v>0</v>
      </c>
      <c r="F72" s="278">
        <v>5000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5000</v>
      </c>
      <c r="M72" s="379">
        <v>0</v>
      </c>
      <c r="N72" s="396">
        <f t="shared" si="13"/>
        <v>10000</v>
      </c>
      <c r="O72" s="397">
        <v>10000</v>
      </c>
      <c r="P72" s="271">
        <v>2425.1099999999997</v>
      </c>
      <c r="Q72" s="274">
        <f t="shared" si="14"/>
        <v>7574.89</v>
      </c>
      <c r="R72" s="398"/>
      <c r="S72" s="477"/>
    </row>
    <row r="73" spans="1:22" s="267" customFormat="1" ht="13">
      <c r="A73" s="420" t="s">
        <v>54</v>
      </c>
      <c r="B73" s="278">
        <v>4000</v>
      </c>
      <c r="C73" s="278">
        <v>4000</v>
      </c>
      <c r="D73" s="278">
        <v>4000</v>
      </c>
      <c r="E73" s="278">
        <v>4000</v>
      </c>
      <c r="F73" s="278">
        <v>4000</v>
      </c>
      <c r="G73" s="278">
        <v>4000</v>
      </c>
      <c r="H73" s="278">
        <v>4000</v>
      </c>
      <c r="I73" s="278">
        <v>4000</v>
      </c>
      <c r="J73" s="278">
        <v>4000</v>
      </c>
      <c r="K73" s="278">
        <v>4000</v>
      </c>
      <c r="L73" s="278">
        <v>4000</v>
      </c>
      <c r="M73" s="379">
        <v>4000</v>
      </c>
      <c r="N73" s="396">
        <f t="shared" si="13"/>
        <v>48000</v>
      </c>
      <c r="O73" s="397">
        <v>48000</v>
      </c>
      <c r="P73" s="271">
        <v>23942.32</v>
      </c>
      <c r="Q73" s="274">
        <f t="shared" si="14"/>
        <v>24057.68</v>
      </c>
      <c r="R73" s="398"/>
      <c r="S73" s="477"/>
    </row>
    <row r="74" spans="1:22" s="267" customFormat="1" ht="13">
      <c r="A74" s="420" t="s">
        <v>56</v>
      </c>
      <c r="B74" s="278">
        <v>2900</v>
      </c>
      <c r="C74" s="278">
        <v>4000</v>
      </c>
      <c r="D74" s="278">
        <v>1100</v>
      </c>
      <c r="E74" s="278">
        <v>400</v>
      </c>
      <c r="F74" s="278">
        <v>400</v>
      </c>
      <c r="G74" s="278">
        <v>400</v>
      </c>
      <c r="H74" s="278">
        <v>400</v>
      </c>
      <c r="I74" s="278">
        <v>400</v>
      </c>
      <c r="J74" s="278">
        <v>3000</v>
      </c>
      <c r="K74" s="278">
        <v>400</v>
      </c>
      <c r="L74" s="278">
        <v>400</v>
      </c>
      <c r="M74" s="278">
        <v>400</v>
      </c>
      <c r="N74" s="396">
        <f t="shared" si="13"/>
        <v>14200</v>
      </c>
      <c r="O74" s="397">
        <v>14200</v>
      </c>
      <c r="P74" s="271">
        <v>13154.77</v>
      </c>
      <c r="Q74" s="274">
        <f t="shared" si="14"/>
        <v>1045.2299999999996</v>
      </c>
      <c r="R74" s="398"/>
      <c r="S74" s="477"/>
    </row>
    <row r="75" spans="1:22" s="267" customFormat="1" ht="19" customHeight="1">
      <c r="A75" s="423" t="s">
        <v>169</v>
      </c>
      <c r="B75" s="276">
        <f t="shared" ref="B75:M75" si="15">SUM(B63:B74)</f>
        <v>28550</v>
      </c>
      <c r="C75" s="276">
        <f t="shared" si="15"/>
        <v>15350</v>
      </c>
      <c r="D75" s="276">
        <f t="shared" si="15"/>
        <v>12450</v>
      </c>
      <c r="E75" s="276">
        <f t="shared" si="15"/>
        <v>11750</v>
      </c>
      <c r="F75" s="276">
        <f t="shared" si="15"/>
        <v>16750</v>
      </c>
      <c r="G75" s="276">
        <f t="shared" si="15"/>
        <v>11750</v>
      </c>
      <c r="H75" s="276">
        <f t="shared" si="15"/>
        <v>15750</v>
      </c>
      <c r="I75" s="276">
        <f t="shared" si="15"/>
        <v>15750</v>
      </c>
      <c r="J75" s="276">
        <f t="shared" si="15"/>
        <v>18350</v>
      </c>
      <c r="K75" s="276">
        <f t="shared" si="15"/>
        <v>26750</v>
      </c>
      <c r="L75" s="276">
        <f t="shared" si="15"/>
        <v>20750</v>
      </c>
      <c r="M75" s="380">
        <f t="shared" si="15"/>
        <v>15750</v>
      </c>
      <c r="N75" s="407">
        <f>SUM(B75:M75)</f>
        <v>209700</v>
      </c>
      <c r="O75" s="401">
        <f>SUM(O64:O74)</f>
        <v>209700</v>
      </c>
      <c r="P75" s="276">
        <v>137632.61999999997</v>
      </c>
      <c r="Q75" s="276">
        <f t="shared" si="14"/>
        <v>72067.380000000034</v>
      </c>
      <c r="R75" s="404"/>
      <c r="S75" s="479"/>
      <c r="T75" s="369"/>
      <c r="U75" s="369"/>
      <c r="V75" s="369"/>
    </row>
    <row r="76" spans="1:22" s="267" customFormat="1" ht="10" customHeight="1">
      <c r="A76" s="419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384"/>
      <c r="N76" s="396"/>
      <c r="O76" s="397"/>
      <c r="P76" s="370"/>
      <c r="Q76" s="370"/>
      <c r="R76" s="398"/>
      <c r="S76" s="479"/>
      <c r="T76" s="369"/>
      <c r="U76" s="369"/>
      <c r="V76" s="369"/>
    </row>
    <row r="77" spans="1:22" s="267" customFormat="1" ht="13">
      <c r="A77" s="419" t="s">
        <v>170</v>
      </c>
      <c r="B77" s="278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379"/>
      <c r="N77" s="396"/>
      <c r="O77" s="397"/>
      <c r="P77" s="370"/>
      <c r="Q77" s="370"/>
      <c r="R77" s="398"/>
      <c r="S77" s="482"/>
      <c r="T77" s="268"/>
      <c r="U77" s="268"/>
      <c r="V77" s="369"/>
    </row>
    <row r="78" spans="1:22" s="267" customFormat="1" ht="13">
      <c r="A78" s="420" t="s">
        <v>67</v>
      </c>
      <c r="B78" s="278">
        <v>0</v>
      </c>
      <c r="C78" s="278">
        <v>0</v>
      </c>
      <c r="D78" s="278">
        <v>0</v>
      </c>
      <c r="E78" s="278">
        <v>0</v>
      </c>
      <c r="F78" s="278">
        <v>7500</v>
      </c>
      <c r="G78" s="278">
        <v>0</v>
      </c>
      <c r="H78" s="278">
        <v>7000</v>
      </c>
      <c r="I78" s="278">
        <v>0</v>
      </c>
      <c r="J78" s="278">
        <v>7000</v>
      </c>
      <c r="K78" s="278">
        <v>0</v>
      </c>
      <c r="L78" s="278">
        <v>0</v>
      </c>
      <c r="M78" s="278">
        <v>0</v>
      </c>
      <c r="N78" s="396">
        <f t="shared" ref="N78:N85" si="16">SUM(B78:M78)</f>
        <v>21500</v>
      </c>
      <c r="O78" s="397">
        <v>21500</v>
      </c>
      <c r="P78" s="271">
        <v>5000</v>
      </c>
      <c r="Q78" s="286">
        <f>N78-P78</f>
        <v>16500</v>
      </c>
      <c r="R78" s="398"/>
      <c r="S78" s="482"/>
      <c r="T78" s="268"/>
      <c r="U78" s="268"/>
      <c r="V78" s="369"/>
    </row>
    <row r="79" spans="1:22" s="267" customFormat="1" ht="13">
      <c r="A79" s="420" t="s">
        <v>68</v>
      </c>
      <c r="B79" s="278">
        <v>0</v>
      </c>
      <c r="C79" s="278">
        <v>0</v>
      </c>
      <c r="D79" s="278">
        <v>0</v>
      </c>
      <c r="E79" s="278">
        <v>0</v>
      </c>
      <c r="F79" s="278">
        <v>1500</v>
      </c>
      <c r="G79" s="278">
        <v>0</v>
      </c>
      <c r="H79" s="278">
        <v>1500</v>
      </c>
      <c r="I79" s="278">
        <v>0</v>
      </c>
      <c r="J79" s="278">
        <v>1500</v>
      </c>
      <c r="K79" s="278">
        <v>0</v>
      </c>
      <c r="L79" s="278">
        <v>0</v>
      </c>
      <c r="M79" s="278">
        <v>0</v>
      </c>
      <c r="N79" s="396">
        <f t="shared" si="16"/>
        <v>4500</v>
      </c>
      <c r="O79" s="397">
        <v>4500</v>
      </c>
      <c r="P79" s="271">
        <v>0</v>
      </c>
      <c r="Q79" s="286">
        <f t="shared" ref="Q79:Q84" si="17">N79-P79</f>
        <v>4500</v>
      </c>
      <c r="R79" s="398"/>
      <c r="S79" s="482"/>
      <c r="T79" s="268"/>
      <c r="U79" s="268"/>
      <c r="V79" s="369"/>
    </row>
    <row r="80" spans="1:22" s="267" customFormat="1" ht="13">
      <c r="A80" s="420" t="s">
        <v>69</v>
      </c>
      <c r="B80" s="278">
        <v>0</v>
      </c>
      <c r="C80" s="278">
        <v>0</v>
      </c>
      <c r="D80" s="278">
        <v>0</v>
      </c>
      <c r="E80" s="278">
        <v>0</v>
      </c>
      <c r="F80" s="278">
        <v>6000</v>
      </c>
      <c r="G80" s="278">
        <v>0</v>
      </c>
      <c r="H80" s="278">
        <v>6000</v>
      </c>
      <c r="I80" s="278">
        <v>0</v>
      </c>
      <c r="J80" s="278">
        <v>6000</v>
      </c>
      <c r="K80" s="278">
        <v>0</v>
      </c>
      <c r="L80" s="278">
        <v>0</v>
      </c>
      <c r="M80" s="278">
        <v>0</v>
      </c>
      <c r="N80" s="396">
        <f t="shared" si="16"/>
        <v>18000</v>
      </c>
      <c r="O80" s="397">
        <v>18000</v>
      </c>
      <c r="P80" s="271">
        <v>7500</v>
      </c>
      <c r="Q80" s="286">
        <f t="shared" si="17"/>
        <v>10500</v>
      </c>
      <c r="R80" s="398"/>
      <c r="S80" s="482"/>
      <c r="T80" s="268"/>
      <c r="U80" s="268"/>
      <c r="V80" s="369"/>
    </row>
    <row r="81" spans="1:22" s="267" customFormat="1" ht="13">
      <c r="A81" s="420" t="s">
        <v>70</v>
      </c>
      <c r="B81" s="278">
        <v>0</v>
      </c>
      <c r="C81" s="278">
        <v>0</v>
      </c>
      <c r="D81" s="278">
        <v>0</v>
      </c>
      <c r="E81" s="278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78">
        <v>0</v>
      </c>
      <c r="N81" s="396">
        <f t="shared" si="16"/>
        <v>0</v>
      </c>
      <c r="O81" s="397">
        <v>0</v>
      </c>
      <c r="P81" s="271">
        <v>0</v>
      </c>
      <c r="Q81" s="286">
        <f t="shared" si="17"/>
        <v>0</v>
      </c>
      <c r="R81" s="398"/>
      <c r="S81" s="482"/>
      <c r="T81" s="268"/>
      <c r="U81" s="268"/>
      <c r="V81" s="369"/>
    </row>
    <row r="82" spans="1:22" s="267" customFormat="1" ht="13">
      <c r="A82" s="420" t="s">
        <v>71</v>
      </c>
      <c r="B82" s="278">
        <v>0</v>
      </c>
      <c r="C82" s="278">
        <v>0</v>
      </c>
      <c r="D82" s="278">
        <v>0</v>
      </c>
      <c r="E82" s="278">
        <v>0</v>
      </c>
      <c r="F82" s="278"/>
      <c r="G82" s="278">
        <v>4300</v>
      </c>
      <c r="H82" s="278">
        <v>0</v>
      </c>
      <c r="I82" s="278">
        <v>4300</v>
      </c>
      <c r="J82" s="278">
        <v>0</v>
      </c>
      <c r="K82" s="278">
        <v>4300</v>
      </c>
      <c r="L82" s="278">
        <v>0</v>
      </c>
      <c r="M82" s="278">
        <v>0</v>
      </c>
      <c r="N82" s="396">
        <f t="shared" si="16"/>
        <v>12900</v>
      </c>
      <c r="O82" s="397">
        <v>12900</v>
      </c>
      <c r="P82" s="271">
        <v>0</v>
      </c>
      <c r="Q82" s="286">
        <f t="shared" si="17"/>
        <v>12900</v>
      </c>
      <c r="R82" s="398"/>
      <c r="S82" s="482"/>
      <c r="T82" s="268"/>
      <c r="U82" s="268"/>
      <c r="V82" s="369"/>
    </row>
    <row r="83" spans="1:22" s="267" customFormat="1" ht="13">
      <c r="A83" s="420" t="s">
        <v>72</v>
      </c>
      <c r="B83" s="278">
        <v>0</v>
      </c>
      <c r="C83" s="278">
        <v>0</v>
      </c>
      <c r="D83" s="278">
        <v>0</v>
      </c>
      <c r="E83" s="278">
        <v>0</v>
      </c>
      <c r="F83" s="278">
        <v>8400</v>
      </c>
      <c r="G83" s="278">
        <v>0</v>
      </c>
      <c r="H83" s="278">
        <v>8400</v>
      </c>
      <c r="I83" s="278">
        <v>0</v>
      </c>
      <c r="J83" s="278">
        <v>8400</v>
      </c>
      <c r="K83" s="278">
        <v>0</v>
      </c>
      <c r="L83" s="278">
        <v>0</v>
      </c>
      <c r="M83" s="278">
        <v>0</v>
      </c>
      <c r="N83" s="396">
        <f t="shared" si="16"/>
        <v>25200</v>
      </c>
      <c r="O83" s="397">
        <v>25200</v>
      </c>
      <c r="P83" s="271">
        <v>0</v>
      </c>
      <c r="Q83" s="286">
        <f t="shared" si="17"/>
        <v>25200</v>
      </c>
      <c r="R83" s="398"/>
      <c r="S83" s="482"/>
      <c r="T83" s="268"/>
      <c r="U83" s="268"/>
      <c r="V83" s="369"/>
    </row>
    <row r="84" spans="1:22" s="267" customFormat="1" ht="13">
      <c r="A84" s="420" t="s">
        <v>73</v>
      </c>
      <c r="B84" s="278">
        <v>0</v>
      </c>
      <c r="C84" s="278">
        <v>0</v>
      </c>
      <c r="D84" s="278">
        <v>0</v>
      </c>
      <c r="E84" s="278">
        <v>0</v>
      </c>
      <c r="F84" s="278">
        <v>9000</v>
      </c>
      <c r="G84" s="278">
        <v>0</v>
      </c>
      <c r="H84" s="278">
        <v>9000</v>
      </c>
      <c r="I84" s="278">
        <v>0</v>
      </c>
      <c r="J84" s="278">
        <v>9000</v>
      </c>
      <c r="K84" s="278">
        <v>0</v>
      </c>
      <c r="L84" s="278">
        <v>0</v>
      </c>
      <c r="M84" s="278">
        <v>0</v>
      </c>
      <c r="N84" s="396">
        <f t="shared" si="16"/>
        <v>27000</v>
      </c>
      <c r="O84" s="397">
        <v>27000</v>
      </c>
      <c r="P84" s="271">
        <v>15442</v>
      </c>
      <c r="Q84" s="286">
        <f t="shared" si="17"/>
        <v>11558</v>
      </c>
      <c r="R84" s="398"/>
      <c r="S84" s="479"/>
      <c r="T84" s="369"/>
      <c r="U84" s="369"/>
      <c r="V84" s="369"/>
    </row>
    <row r="85" spans="1:22" s="267" customFormat="1" ht="13">
      <c r="A85" s="419" t="s">
        <v>171</v>
      </c>
      <c r="B85" s="276">
        <f>SUM(B78:B84)</f>
        <v>0</v>
      </c>
      <c r="C85" s="276">
        <f t="shared" ref="C85:M85" si="18">SUM(C78:C84)</f>
        <v>0</v>
      </c>
      <c r="D85" s="276">
        <f t="shared" si="18"/>
        <v>0</v>
      </c>
      <c r="E85" s="276">
        <f t="shared" si="18"/>
        <v>0</v>
      </c>
      <c r="F85" s="276">
        <f t="shared" si="18"/>
        <v>32400</v>
      </c>
      <c r="G85" s="276">
        <f t="shared" si="18"/>
        <v>4300</v>
      </c>
      <c r="H85" s="276">
        <f t="shared" si="18"/>
        <v>31900</v>
      </c>
      <c r="I85" s="276">
        <f t="shared" si="18"/>
        <v>4300</v>
      </c>
      <c r="J85" s="276">
        <f t="shared" si="18"/>
        <v>31900</v>
      </c>
      <c r="K85" s="276">
        <f t="shared" si="18"/>
        <v>4300</v>
      </c>
      <c r="L85" s="276">
        <f t="shared" si="18"/>
        <v>0</v>
      </c>
      <c r="M85" s="380">
        <f t="shared" si="18"/>
        <v>0</v>
      </c>
      <c r="N85" s="574">
        <f t="shared" si="16"/>
        <v>109100</v>
      </c>
      <c r="O85" s="573">
        <f>0+SUM(O78:O84)</f>
        <v>109100</v>
      </c>
      <c r="P85" s="276">
        <v>27942</v>
      </c>
      <c r="Q85" s="276">
        <f>N85-P85</f>
        <v>81158</v>
      </c>
      <c r="R85" s="404"/>
      <c r="S85" s="479"/>
      <c r="T85" s="369"/>
      <c r="U85" s="369"/>
      <c r="V85" s="369"/>
    </row>
    <row r="86" spans="1:22" s="267" customFormat="1" ht="6" hidden="1" customHeight="1">
      <c r="A86" s="419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384"/>
      <c r="N86" s="396"/>
      <c r="O86" s="397"/>
      <c r="P86" s="370"/>
      <c r="Q86" s="370"/>
      <c r="R86" s="398"/>
      <c r="S86" s="479"/>
      <c r="T86" s="369"/>
      <c r="U86" s="369"/>
      <c r="V86" s="369"/>
    </row>
    <row r="87" spans="1:22" s="267" customFormat="1" ht="13" hidden="1">
      <c r="A87" s="424" t="s">
        <v>172</v>
      </c>
      <c r="B87" s="278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379"/>
      <c r="N87" s="396"/>
      <c r="O87" s="397"/>
      <c r="P87" s="370"/>
      <c r="Q87" s="370"/>
      <c r="R87" s="398"/>
      <c r="S87" s="479"/>
      <c r="T87" s="369"/>
      <c r="U87" s="369"/>
      <c r="V87" s="369"/>
    </row>
    <row r="88" spans="1:22" s="267" customFormat="1" ht="13" hidden="1">
      <c r="A88" s="425" t="s">
        <v>173</v>
      </c>
      <c r="B88" s="278" t="e">
        <f>#REF!-#REF!</f>
        <v>#REF!</v>
      </c>
      <c r="C88" s="271" t="e">
        <f>#REF!-#REF!</f>
        <v>#REF!</v>
      </c>
      <c r="D88" s="271" t="e">
        <f>B88-#REF!</f>
        <v>#REF!</v>
      </c>
      <c r="E88" s="271" t="e">
        <f t="shared" ref="E88:M88" si="19">C88-B88</f>
        <v>#REF!</v>
      </c>
      <c r="F88" s="271" t="e">
        <f t="shared" si="19"/>
        <v>#REF!</v>
      </c>
      <c r="G88" s="271" t="e">
        <f t="shared" si="19"/>
        <v>#REF!</v>
      </c>
      <c r="H88" s="271" t="e">
        <f t="shared" si="19"/>
        <v>#REF!</v>
      </c>
      <c r="I88" s="271" t="e">
        <f t="shared" si="19"/>
        <v>#REF!</v>
      </c>
      <c r="J88" s="271" t="e">
        <f t="shared" si="19"/>
        <v>#REF!</v>
      </c>
      <c r="K88" s="271" t="e">
        <f t="shared" si="19"/>
        <v>#REF!</v>
      </c>
      <c r="L88" s="271" t="e">
        <f t="shared" si="19"/>
        <v>#REF!</v>
      </c>
      <c r="M88" s="379" t="e">
        <f t="shared" si="19"/>
        <v>#REF!</v>
      </c>
      <c r="N88" s="396"/>
      <c r="O88" s="397"/>
      <c r="P88" s="370"/>
      <c r="Q88" s="370"/>
      <c r="R88" s="398"/>
      <c r="S88" s="479"/>
      <c r="T88" s="369"/>
      <c r="U88" s="369"/>
      <c r="V88" s="369"/>
    </row>
    <row r="89" spans="1:22" s="267" customFormat="1" ht="13" hidden="1">
      <c r="A89" s="425" t="s">
        <v>174</v>
      </c>
      <c r="B89" s="278">
        <f>0</f>
        <v>0</v>
      </c>
      <c r="C89" s="271">
        <f>0</f>
        <v>0</v>
      </c>
      <c r="D89" s="271">
        <f>0</f>
        <v>0</v>
      </c>
      <c r="E89" s="271">
        <f>0</f>
        <v>0</v>
      </c>
      <c r="F89" s="271">
        <f>0</f>
        <v>0</v>
      </c>
      <c r="G89" s="271">
        <f>0</f>
        <v>0</v>
      </c>
      <c r="H89" s="271">
        <f>0</f>
        <v>0</v>
      </c>
      <c r="I89" s="271">
        <f>0</f>
        <v>0</v>
      </c>
      <c r="J89" s="271">
        <f>0</f>
        <v>0</v>
      </c>
      <c r="K89" s="271">
        <v>0</v>
      </c>
      <c r="L89" s="271">
        <f>0</f>
        <v>0</v>
      </c>
      <c r="M89" s="379">
        <f>0</f>
        <v>0</v>
      </c>
      <c r="N89" s="396"/>
      <c r="O89" s="397"/>
      <c r="P89" s="370"/>
      <c r="Q89" s="370"/>
      <c r="R89" s="398"/>
      <c r="S89" s="479"/>
      <c r="T89" s="369"/>
      <c r="U89" s="369"/>
      <c r="V89" s="369"/>
    </row>
    <row r="90" spans="1:22" s="267" customFormat="1" ht="13" hidden="1">
      <c r="A90" s="424" t="s">
        <v>175</v>
      </c>
      <c r="B90" s="278" t="e">
        <f>SUM(B88:B89)</f>
        <v>#REF!</v>
      </c>
      <c r="C90" s="271" t="e">
        <f t="shared" ref="C90:M90" si="20">SUM(C88:C89)</f>
        <v>#REF!</v>
      </c>
      <c r="D90" s="271" t="e">
        <f t="shared" si="20"/>
        <v>#REF!</v>
      </c>
      <c r="E90" s="271" t="e">
        <f t="shared" si="20"/>
        <v>#REF!</v>
      </c>
      <c r="F90" s="271" t="e">
        <f t="shared" si="20"/>
        <v>#REF!</v>
      </c>
      <c r="G90" s="271" t="e">
        <f t="shared" si="20"/>
        <v>#REF!</v>
      </c>
      <c r="H90" s="271" t="e">
        <f t="shared" si="20"/>
        <v>#REF!</v>
      </c>
      <c r="I90" s="271" t="e">
        <f t="shared" si="20"/>
        <v>#REF!</v>
      </c>
      <c r="J90" s="271" t="e">
        <f t="shared" si="20"/>
        <v>#REF!</v>
      </c>
      <c r="K90" s="271" t="e">
        <f t="shared" si="20"/>
        <v>#REF!</v>
      </c>
      <c r="L90" s="271" t="e">
        <f t="shared" si="20"/>
        <v>#REF!</v>
      </c>
      <c r="M90" s="379" t="e">
        <f t="shared" si="20"/>
        <v>#REF!</v>
      </c>
      <c r="N90" s="396"/>
      <c r="O90" s="397"/>
      <c r="P90" s="370"/>
      <c r="Q90" s="370"/>
      <c r="R90" s="398"/>
      <c r="S90" s="479"/>
      <c r="T90" s="369"/>
      <c r="U90" s="369"/>
      <c r="V90" s="369"/>
    </row>
    <row r="91" spans="1:22" s="267" customFormat="1" ht="15" customHeight="1">
      <c r="A91" s="419"/>
      <c r="B91" s="278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379"/>
      <c r="N91" s="396"/>
      <c r="O91" s="397"/>
      <c r="P91" s="370"/>
      <c r="Q91" s="370"/>
      <c r="R91" s="398"/>
      <c r="S91" s="479"/>
      <c r="T91" s="369"/>
      <c r="U91" s="369"/>
      <c r="V91" s="369"/>
    </row>
    <row r="92" spans="1:22" s="267" customFormat="1" ht="13">
      <c r="A92" s="419" t="s">
        <v>176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379"/>
      <c r="N92" s="396"/>
      <c r="O92" s="397"/>
      <c r="P92" s="133"/>
      <c r="Q92" s="133"/>
      <c r="R92" s="398"/>
      <c r="S92" s="477"/>
    </row>
    <row r="93" spans="1:22" s="267" customFormat="1" ht="13">
      <c r="A93" s="420" t="s">
        <v>177</v>
      </c>
      <c r="B93" s="382">
        <v>2100</v>
      </c>
      <c r="C93" s="382">
        <v>2100</v>
      </c>
      <c r="D93" s="382">
        <v>2100</v>
      </c>
      <c r="E93" s="382">
        <v>2100</v>
      </c>
      <c r="F93" s="382">
        <v>2100</v>
      </c>
      <c r="G93" s="382">
        <v>6600</v>
      </c>
      <c r="H93" s="382">
        <v>2100</v>
      </c>
      <c r="I93" s="382">
        <v>2100</v>
      </c>
      <c r="J93" s="382">
        <v>6600</v>
      </c>
      <c r="K93" s="382">
        <v>2100</v>
      </c>
      <c r="L93" s="382">
        <v>2100</v>
      </c>
      <c r="M93" s="388">
        <v>2100</v>
      </c>
      <c r="N93" s="409">
        <f t="shared" ref="N93:N97" si="21">SUM(B93:M93)</f>
        <v>34200</v>
      </c>
      <c r="O93" s="397">
        <v>34200</v>
      </c>
      <c r="P93" s="271">
        <v>10934</v>
      </c>
      <c r="Q93" s="274">
        <f>N93-P93</f>
        <v>23266</v>
      </c>
      <c r="R93" s="398"/>
      <c r="S93" s="477"/>
    </row>
    <row r="94" spans="1:22" s="267" customFormat="1" ht="13">
      <c r="A94" s="420" t="s">
        <v>178</v>
      </c>
      <c r="B94" s="278">
        <v>3000</v>
      </c>
      <c r="C94" s="278">
        <v>3000</v>
      </c>
      <c r="D94" s="278">
        <v>3000</v>
      </c>
      <c r="E94" s="278">
        <v>3000</v>
      </c>
      <c r="F94" s="278">
        <v>3000</v>
      </c>
      <c r="G94" s="278">
        <v>3000</v>
      </c>
      <c r="H94" s="278">
        <v>3000</v>
      </c>
      <c r="I94" s="278">
        <v>5000</v>
      </c>
      <c r="J94" s="278">
        <v>5000</v>
      </c>
      <c r="K94" s="278">
        <v>7000</v>
      </c>
      <c r="L94" s="278">
        <v>7000</v>
      </c>
      <c r="M94" s="379">
        <v>7000</v>
      </c>
      <c r="N94" s="396">
        <f t="shared" si="21"/>
        <v>52000</v>
      </c>
      <c r="O94" s="397">
        <v>52000</v>
      </c>
      <c r="P94" s="271">
        <v>40387.379999999997</v>
      </c>
      <c r="Q94" s="274">
        <f>N94-P94</f>
        <v>11612.620000000003</v>
      </c>
      <c r="R94" s="398"/>
      <c r="S94" s="477"/>
    </row>
    <row r="95" spans="1:22" s="267" customFormat="1" ht="13">
      <c r="A95" s="420" t="s">
        <v>180</v>
      </c>
      <c r="B95" s="278">
        <v>0</v>
      </c>
      <c r="C95" s="278">
        <v>0</v>
      </c>
      <c r="D95" s="278">
        <v>0</v>
      </c>
      <c r="E95" s="278">
        <v>0</v>
      </c>
      <c r="F95" s="278">
        <v>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379">
        <v>0</v>
      </c>
      <c r="N95" s="396">
        <f t="shared" si="21"/>
        <v>0</v>
      </c>
      <c r="O95" s="397">
        <v>0</v>
      </c>
      <c r="P95" s="271"/>
      <c r="Q95" s="274"/>
      <c r="R95" s="398"/>
      <c r="S95" s="477"/>
    </row>
    <row r="96" spans="1:22" s="267" customFormat="1" ht="13">
      <c r="A96" s="420" t="s">
        <v>181</v>
      </c>
      <c r="B96" s="278">
        <v>0</v>
      </c>
      <c r="C96" s="278">
        <v>0</v>
      </c>
      <c r="D96" s="278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379">
        <v>0</v>
      </c>
      <c r="N96" s="396">
        <f t="shared" si="21"/>
        <v>0</v>
      </c>
      <c r="O96" s="397">
        <v>0</v>
      </c>
      <c r="P96" s="271"/>
      <c r="Q96" s="274"/>
      <c r="R96" s="398"/>
      <c r="S96" s="477"/>
    </row>
    <row r="97" spans="1:19" s="267" customFormat="1" ht="13">
      <c r="A97" s="420" t="s">
        <v>182</v>
      </c>
      <c r="B97" s="278">
        <v>1000</v>
      </c>
      <c r="C97" s="278">
        <v>1000</v>
      </c>
      <c r="D97" s="278">
        <v>1000</v>
      </c>
      <c r="E97" s="278">
        <v>1000</v>
      </c>
      <c r="F97" s="278">
        <v>1500</v>
      </c>
      <c r="G97" s="278">
        <v>1000</v>
      </c>
      <c r="H97" s="278">
        <v>1000</v>
      </c>
      <c r="I97" s="278">
        <v>1000</v>
      </c>
      <c r="J97" s="278">
        <v>1000</v>
      </c>
      <c r="K97" s="278">
        <v>1000</v>
      </c>
      <c r="L97" s="278">
        <v>1000</v>
      </c>
      <c r="M97" s="379">
        <v>1000</v>
      </c>
      <c r="N97" s="396">
        <f t="shared" si="21"/>
        <v>12500</v>
      </c>
      <c r="O97" s="397">
        <v>12500</v>
      </c>
      <c r="P97" s="271"/>
      <c r="Q97" s="274"/>
      <c r="R97" s="398"/>
      <c r="S97" s="477"/>
    </row>
    <row r="98" spans="1:19" s="267" customFormat="1" ht="13">
      <c r="A98" s="420" t="s">
        <v>184</v>
      </c>
      <c r="B98" s="278"/>
      <c r="C98" s="278"/>
      <c r="D98" s="278"/>
      <c r="E98" s="278"/>
      <c r="F98" s="278"/>
      <c r="G98" s="278"/>
      <c r="H98" s="271"/>
      <c r="I98" s="271"/>
      <c r="J98" s="271"/>
      <c r="K98" s="271"/>
      <c r="L98" s="271"/>
      <c r="M98" s="379"/>
      <c r="N98" s="410"/>
      <c r="O98" s="397"/>
      <c r="P98" s="271"/>
      <c r="Q98" s="274">
        <f>N98-P98</f>
        <v>0</v>
      </c>
      <c r="R98" s="398"/>
      <c r="S98" s="477"/>
    </row>
    <row r="99" spans="1:19" s="267" customFormat="1" ht="13">
      <c r="A99" s="420" t="s">
        <v>186</v>
      </c>
      <c r="B99" s="278">
        <v>0</v>
      </c>
      <c r="C99" s="278">
        <v>0</v>
      </c>
      <c r="D99" s="278">
        <v>0</v>
      </c>
      <c r="E99" s="278">
        <v>0</v>
      </c>
      <c r="F99" s="278">
        <v>0</v>
      </c>
      <c r="G99" s="278">
        <v>0</v>
      </c>
      <c r="H99" s="278">
        <v>3500</v>
      </c>
      <c r="I99" s="278">
        <v>0</v>
      </c>
      <c r="J99" s="278">
        <v>0</v>
      </c>
      <c r="K99" s="278">
        <v>3500</v>
      </c>
      <c r="L99" s="278">
        <v>0</v>
      </c>
      <c r="M99" s="379">
        <v>0</v>
      </c>
      <c r="N99" s="396">
        <f>SUM(B99:M99)</f>
        <v>7000</v>
      </c>
      <c r="O99" s="397">
        <v>7000</v>
      </c>
      <c r="P99" s="271">
        <v>0</v>
      </c>
      <c r="Q99" s="274">
        <f>N99-P99</f>
        <v>7000</v>
      </c>
      <c r="R99" s="398"/>
      <c r="S99" s="477"/>
    </row>
    <row r="100" spans="1:19" s="267" customFormat="1" ht="13">
      <c r="A100" s="420" t="s">
        <v>187</v>
      </c>
      <c r="B100" s="278">
        <v>0</v>
      </c>
      <c r="C100" s="278">
        <v>0</v>
      </c>
      <c r="D100" s="278">
        <v>0</v>
      </c>
      <c r="E100" s="278">
        <v>0</v>
      </c>
      <c r="F100" s="278">
        <v>0</v>
      </c>
      <c r="G100" s="278">
        <v>0</v>
      </c>
      <c r="H100" s="271">
        <v>1500</v>
      </c>
      <c r="I100" s="271">
        <v>0</v>
      </c>
      <c r="J100" s="271">
        <v>0</v>
      </c>
      <c r="K100" s="271">
        <v>1500</v>
      </c>
      <c r="L100" s="271">
        <v>0</v>
      </c>
      <c r="M100" s="379">
        <v>0</v>
      </c>
      <c r="N100" s="396">
        <f t="shared" ref="N100:N106" si="22">SUM(B100:M100)</f>
        <v>3000</v>
      </c>
      <c r="O100" s="397">
        <v>3000</v>
      </c>
      <c r="P100" s="271">
        <v>11057.409999999998</v>
      </c>
      <c r="Q100" s="274">
        <f>N100-P100</f>
        <v>-8057.409999999998</v>
      </c>
      <c r="R100" s="398"/>
      <c r="S100" s="477"/>
    </row>
    <row r="101" spans="1:19" s="267" customFormat="1" ht="13">
      <c r="A101" s="420" t="s">
        <v>188</v>
      </c>
      <c r="B101" s="278">
        <v>0</v>
      </c>
      <c r="C101" s="278">
        <v>0</v>
      </c>
      <c r="D101" s="278">
        <v>0</v>
      </c>
      <c r="E101" s="278">
        <v>0</v>
      </c>
      <c r="F101" s="278">
        <v>0</v>
      </c>
      <c r="G101" s="278">
        <v>0</v>
      </c>
      <c r="H101" s="271">
        <v>1000</v>
      </c>
      <c r="I101" s="271">
        <v>0</v>
      </c>
      <c r="J101" s="271">
        <v>0</v>
      </c>
      <c r="K101" s="271">
        <v>1000</v>
      </c>
      <c r="L101" s="271">
        <v>0</v>
      </c>
      <c r="M101" s="379">
        <v>0</v>
      </c>
      <c r="N101" s="396">
        <f>SUM(B101:M101)</f>
        <v>2000</v>
      </c>
      <c r="O101" s="397">
        <v>2000</v>
      </c>
      <c r="P101" s="271">
        <v>5082.8500000000004</v>
      </c>
      <c r="Q101" s="274">
        <f>N101-P101</f>
        <v>-3082.8500000000004</v>
      </c>
      <c r="R101" s="398"/>
      <c r="S101" s="477"/>
    </row>
    <row r="102" spans="1:19" s="267" customFormat="1" ht="13">
      <c r="A102" s="420" t="s">
        <v>189</v>
      </c>
      <c r="B102" s="278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1">
        <v>1000</v>
      </c>
      <c r="I102" s="271">
        <v>0</v>
      </c>
      <c r="J102" s="271">
        <v>0</v>
      </c>
      <c r="K102" s="271">
        <v>1000</v>
      </c>
      <c r="L102" s="271">
        <v>0</v>
      </c>
      <c r="M102" s="379">
        <v>0</v>
      </c>
      <c r="N102" s="396">
        <f t="shared" si="22"/>
        <v>2000</v>
      </c>
      <c r="O102" s="397">
        <v>2000</v>
      </c>
      <c r="P102" s="271">
        <v>7928.23</v>
      </c>
      <c r="Q102" s="274">
        <f>N102-P102</f>
        <v>-5928.23</v>
      </c>
      <c r="R102" s="398"/>
      <c r="S102" s="477"/>
    </row>
    <row r="103" spans="1:19" s="267" customFormat="1" ht="13">
      <c r="A103" s="420" t="s">
        <v>190</v>
      </c>
      <c r="B103" s="278">
        <v>0</v>
      </c>
      <c r="C103" s="278">
        <v>0</v>
      </c>
      <c r="D103" s="278">
        <v>0</v>
      </c>
      <c r="E103" s="278">
        <v>0</v>
      </c>
      <c r="F103" s="278">
        <v>0</v>
      </c>
      <c r="G103" s="278">
        <v>0</v>
      </c>
      <c r="H103" s="271">
        <v>2000</v>
      </c>
      <c r="I103" s="271">
        <v>0</v>
      </c>
      <c r="J103" s="271">
        <v>0</v>
      </c>
      <c r="K103" s="271">
        <v>2000</v>
      </c>
      <c r="L103" s="271">
        <v>0</v>
      </c>
      <c r="M103" s="379">
        <v>0</v>
      </c>
      <c r="N103" s="396">
        <f t="shared" si="22"/>
        <v>4000</v>
      </c>
      <c r="O103" s="397">
        <v>4000</v>
      </c>
      <c r="P103" s="271"/>
      <c r="Q103" s="274"/>
      <c r="R103" s="398"/>
      <c r="S103" s="477"/>
    </row>
    <row r="104" spans="1:19" s="267" customFormat="1" ht="13">
      <c r="A104" s="572" t="s">
        <v>222</v>
      </c>
      <c r="B104" s="278">
        <v>0</v>
      </c>
      <c r="C104" s="278">
        <v>0</v>
      </c>
      <c r="D104" s="278">
        <v>0</v>
      </c>
      <c r="E104" s="278">
        <v>0</v>
      </c>
      <c r="F104" s="278">
        <v>0</v>
      </c>
      <c r="G104" s="278">
        <v>0</v>
      </c>
      <c r="H104" s="271">
        <v>1000</v>
      </c>
      <c r="I104" s="271">
        <v>0</v>
      </c>
      <c r="J104" s="271">
        <v>0</v>
      </c>
      <c r="K104" s="271">
        <v>1000</v>
      </c>
      <c r="L104" s="271">
        <v>0</v>
      </c>
      <c r="M104" s="379">
        <v>0</v>
      </c>
      <c r="N104" s="396">
        <f t="shared" si="22"/>
        <v>2000</v>
      </c>
      <c r="O104" s="397">
        <v>2000</v>
      </c>
      <c r="P104" s="271"/>
      <c r="Q104" s="274"/>
      <c r="R104" s="398"/>
      <c r="S104" s="477"/>
    </row>
    <row r="105" spans="1:19" s="267" customFormat="1" ht="13">
      <c r="A105" s="577" t="s">
        <v>192</v>
      </c>
      <c r="B105" s="278">
        <v>200</v>
      </c>
      <c r="C105" s="278">
        <v>200</v>
      </c>
      <c r="D105" s="278">
        <v>200</v>
      </c>
      <c r="E105" s="278">
        <v>200</v>
      </c>
      <c r="F105" s="278">
        <v>200</v>
      </c>
      <c r="G105" s="278">
        <v>200</v>
      </c>
      <c r="H105" s="278">
        <v>200</v>
      </c>
      <c r="I105" s="278">
        <v>200</v>
      </c>
      <c r="J105" s="278">
        <v>200</v>
      </c>
      <c r="K105" s="278">
        <v>200</v>
      </c>
      <c r="L105" s="278">
        <v>200</v>
      </c>
      <c r="M105" s="379">
        <v>200</v>
      </c>
      <c r="N105" s="396">
        <f>SUM(B105:M105)</f>
        <v>2400</v>
      </c>
      <c r="O105" s="397">
        <v>2400</v>
      </c>
      <c r="P105" s="271"/>
      <c r="Q105" s="274"/>
      <c r="R105" s="398"/>
      <c r="S105" s="477"/>
    </row>
    <row r="106" spans="1:19" s="267" customFormat="1" ht="13">
      <c r="A106" s="577" t="s">
        <v>193</v>
      </c>
      <c r="B106" s="278">
        <v>2000</v>
      </c>
      <c r="C106" s="278">
        <v>2000</v>
      </c>
      <c r="D106" s="278">
        <v>2000</v>
      </c>
      <c r="E106" s="278">
        <v>2000</v>
      </c>
      <c r="F106" s="278">
        <v>2000</v>
      </c>
      <c r="G106" s="278">
        <v>2000</v>
      </c>
      <c r="H106" s="278">
        <v>2000</v>
      </c>
      <c r="I106" s="278">
        <v>2000</v>
      </c>
      <c r="J106" s="278">
        <v>2000</v>
      </c>
      <c r="K106" s="278">
        <v>2000</v>
      </c>
      <c r="L106" s="278">
        <v>2000</v>
      </c>
      <c r="M106" s="379">
        <v>2000</v>
      </c>
      <c r="N106" s="396">
        <f t="shared" si="22"/>
        <v>24000</v>
      </c>
      <c r="O106" s="397">
        <v>24000</v>
      </c>
      <c r="P106" s="278"/>
      <c r="Q106" s="286"/>
      <c r="R106" s="398"/>
      <c r="S106" s="477"/>
    </row>
    <row r="107" spans="1:19" s="267" customFormat="1" ht="13">
      <c r="A107" s="577" t="s">
        <v>194</v>
      </c>
      <c r="B107" s="278">
        <v>3000</v>
      </c>
      <c r="C107" s="278">
        <v>3000</v>
      </c>
      <c r="D107" s="278">
        <v>3000</v>
      </c>
      <c r="E107" s="278">
        <v>4000</v>
      </c>
      <c r="F107" s="278">
        <v>4000</v>
      </c>
      <c r="G107" s="278">
        <v>5000</v>
      </c>
      <c r="H107" s="278">
        <v>7000</v>
      </c>
      <c r="I107" s="278">
        <v>5000</v>
      </c>
      <c r="J107" s="278">
        <v>5000</v>
      </c>
      <c r="K107" s="278">
        <v>9000</v>
      </c>
      <c r="L107" s="278">
        <v>7000</v>
      </c>
      <c r="M107" s="379">
        <v>9000</v>
      </c>
      <c r="N107" s="396">
        <f>SUM(B107:M107)</f>
        <v>64000</v>
      </c>
      <c r="O107" s="397">
        <v>64000</v>
      </c>
      <c r="P107" s="278"/>
      <c r="Q107" s="286"/>
      <c r="R107" s="398"/>
      <c r="S107" s="477"/>
    </row>
    <row r="108" spans="1:19" s="267" customFormat="1" ht="13">
      <c r="A108" s="437" t="s">
        <v>92</v>
      </c>
      <c r="B108" s="276">
        <f t="shared" ref="B108:M108" si="23">SUM(B93:B107)</f>
        <v>11300</v>
      </c>
      <c r="C108" s="277">
        <f t="shared" si="23"/>
        <v>11300</v>
      </c>
      <c r="D108" s="276">
        <f t="shared" si="23"/>
        <v>11300</v>
      </c>
      <c r="E108" s="276">
        <f t="shared" si="23"/>
        <v>12300</v>
      </c>
      <c r="F108" s="276">
        <f t="shared" si="23"/>
        <v>12800</v>
      </c>
      <c r="G108" s="276">
        <f t="shared" si="23"/>
        <v>17800</v>
      </c>
      <c r="H108" s="276">
        <f t="shared" si="23"/>
        <v>25300</v>
      </c>
      <c r="I108" s="276">
        <f t="shared" si="23"/>
        <v>15300</v>
      </c>
      <c r="J108" s="276">
        <f t="shared" si="23"/>
        <v>19800</v>
      </c>
      <c r="K108" s="276">
        <f t="shared" si="23"/>
        <v>31300</v>
      </c>
      <c r="L108" s="276">
        <f t="shared" si="23"/>
        <v>19300</v>
      </c>
      <c r="M108" s="276">
        <f t="shared" si="23"/>
        <v>21300</v>
      </c>
      <c r="N108" s="439">
        <f>SUM(B108:M108)</f>
        <v>209100</v>
      </c>
      <c r="O108" s="440">
        <f>SUM(O91:O107)</f>
        <v>209100</v>
      </c>
      <c r="P108" s="276">
        <v>80414.87</v>
      </c>
      <c r="Q108" s="276">
        <f>N108-P108</f>
        <v>128685.13</v>
      </c>
      <c r="R108" s="441"/>
      <c r="S108" s="477"/>
    </row>
    <row r="109" spans="1:19" s="267" customFormat="1" ht="13" customHeight="1">
      <c r="A109" s="419"/>
      <c r="B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384"/>
      <c r="N109" s="396"/>
      <c r="O109" s="397"/>
      <c r="P109" s="133"/>
      <c r="Q109" s="133"/>
      <c r="R109" s="398"/>
      <c r="S109" s="477"/>
    </row>
    <row r="110" spans="1:19" s="267" customFormat="1" ht="14" customHeight="1">
      <c r="A110" s="419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384"/>
      <c r="N110" s="396"/>
      <c r="O110" s="397"/>
      <c r="P110" s="133"/>
      <c r="Q110" s="133"/>
      <c r="R110" s="398"/>
      <c r="S110" s="477"/>
    </row>
    <row r="111" spans="1:19" s="267" customFormat="1" ht="13">
      <c r="A111" s="419" t="s">
        <v>195</v>
      </c>
      <c r="B111" s="278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379"/>
      <c r="N111" s="396"/>
      <c r="O111" s="397"/>
      <c r="P111" s="133"/>
      <c r="Q111" s="133"/>
      <c r="R111" s="398"/>
      <c r="S111" s="477"/>
    </row>
    <row r="112" spans="1:19" s="267" customFormat="1" ht="13">
      <c r="A112" s="420" t="s">
        <v>196</v>
      </c>
      <c r="B112" s="278">
        <v>0</v>
      </c>
      <c r="C112" s="271">
        <v>0</v>
      </c>
      <c r="D112" s="271">
        <v>0</v>
      </c>
      <c r="E112" s="271">
        <v>0</v>
      </c>
      <c r="F112" s="271">
        <v>0</v>
      </c>
      <c r="G112" s="271">
        <v>0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379">
        <v>0</v>
      </c>
      <c r="N112" s="396">
        <f>SUM(B112:M112)</f>
        <v>0</v>
      </c>
      <c r="O112" s="397">
        <v>0</v>
      </c>
      <c r="P112" s="271">
        <v>11031.75</v>
      </c>
      <c r="Q112" s="274">
        <f>N112-P112</f>
        <v>-11031.75</v>
      </c>
      <c r="R112" s="398"/>
      <c r="S112" s="477"/>
    </row>
    <row r="113" spans="1:19" s="267" customFormat="1" ht="13">
      <c r="A113" s="419" t="s">
        <v>223</v>
      </c>
      <c r="B113" s="276">
        <f t="shared" ref="B113:M113" si="24">SUM(B112:B112)</f>
        <v>0</v>
      </c>
      <c r="C113" s="276">
        <f t="shared" si="24"/>
        <v>0</v>
      </c>
      <c r="D113" s="276">
        <f t="shared" si="24"/>
        <v>0</v>
      </c>
      <c r="E113" s="276">
        <f t="shared" si="24"/>
        <v>0</v>
      </c>
      <c r="F113" s="276">
        <f t="shared" si="24"/>
        <v>0</v>
      </c>
      <c r="G113" s="276">
        <f t="shared" si="24"/>
        <v>0</v>
      </c>
      <c r="H113" s="276">
        <f t="shared" si="24"/>
        <v>0</v>
      </c>
      <c r="I113" s="276">
        <f t="shared" si="24"/>
        <v>0</v>
      </c>
      <c r="J113" s="276">
        <f t="shared" si="24"/>
        <v>0</v>
      </c>
      <c r="K113" s="276">
        <f t="shared" si="24"/>
        <v>0</v>
      </c>
      <c r="L113" s="276">
        <f t="shared" si="24"/>
        <v>0</v>
      </c>
      <c r="M113" s="380">
        <f t="shared" si="24"/>
        <v>0</v>
      </c>
      <c r="N113" s="400">
        <f>SUM(B113:M113)</f>
        <v>0</v>
      </c>
      <c r="O113" s="408">
        <v>0</v>
      </c>
      <c r="P113" s="276">
        <v>18072.3</v>
      </c>
      <c r="Q113" s="276">
        <f>N113-P113</f>
        <v>-18072.3</v>
      </c>
      <c r="R113" s="404"/>
      <c r="S113" s="477"/>
    </row>
    <row r="114" spans="1:19" s="267" customFormat="1" ht="6" customHeight="1">
      <c r="A114" s="419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384"/>
      <c r="N114" s="396"/>
      <c r="O114" s="397"/>
      <c r="P114" s="133"/>
      <c r="Q114" s="133"/>
      <c r="R114" s="398"/>
      <c r="S114" s="477"/>
    </row>
    <row r="115" spans="1:19" s="267" customFormat="1" ht="14.5" customHeight="1">
      <c r="A115" s="419" t="s">
        <v>198</v>
      </c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384"/>
      <c r="N115" s="396"/>
      <c r="O115" s="397"/>
      <c r="P115" s="133"/>
      <c r="Q115" s="133"/>
      <c r="R115" s="398"/>
      <c r="S115" s="477"/>
    </row>
    <row r="116" spans="1:19" s="267" customFormat="1" ht="13">
      <c r="A116" s="420" t="s">
        <v>199</v>
      </c>
      <c r="B116" s="278">
        <v>18000</v>
      </c>
      <c r="C116" s="278">
        <v>18000</v>
      </c>
      <c r="D116" s="278">
        <v>18000</v>
      </c>
      <c r="E116" s="278">
        <v>18000</v>
      </c>
      <c r="F116" s="278">
        <v>18000</v>
      </c>
      <c r="G116" s="278">
        <v>18000</v>
      </c>
      <c r="H116" s="278">
        <v>18000</v>
      </c>
      <c r="I116" s="278">
        <v>18000</v>
      </c>
      <c r="J116" s="278">
        <v>18000</v>
      </c>
      <c r="K116" s="278">
        <v>18000</v>
      </c>
      <c r="L116" s="278">
        <v>18000</v>
      </c>
      <c r="M116" s="379">
        <v>18000</v>
      </c>
      <c r="N116" s="396">
        <f>SUM(B116:M116)</f>
        <v>216000</v>
      </c>
      <c r="O116" s="397">
        <v>216000</v>
      </c>
      <c r="P116" s="271">
        <v>376153.68000000011</v>
      </c>
      <c r="Q116" s="274">
        <f>N116-P116</f>
        <v>-160153.68000000011</v>
      </c>
      <c r="R116" s="398"/>
      <c r="S116" s="477"/>
    </row>
    <row r="117" spans="1:19" s="267" customFormat="1" ht="13">
      <c r="A117" s="420" t="s">
        <v>200</v>
      </c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379"/>
      <c r="N117" s="396"/>
      <c r="O117" s="397"/>
      <c r="P117" s="271">
        <v>46507.833333333336</v>
      </c>
      <c r="Q117" s="274">
        <f>N117-P117</f>
        <v>-46507.833333333336</v>
      </c>
      <c r="R117" s="398"/>
      <c r="S117" s="484"/>
    </row>
    <row r="118" spans="1:19" s="267" customFormat="1" ht="13">
      <c r="A118" s="571" t="s">
        <v>201</v>
      </c>
      <c r="B118" s="278">
        <v>12500</v>
      </c>
      <c r="C118" s="278">
        <v>12500</v>
      </c>
      <c r="D118" s="278">
        <v>12500</v>
      </c>
      <c r="E118" s="278">
        <v>12500</v>
      </c>
      <c r="F118" s="278">
        <v>12500</v>
      </c>
      <c r="G118" s="278">
        <v>12500</v>
      </c>
      <c r="H118" s="278">
        <v>12500</v>
      </c>
      <c r="I118" s="278">
        <v>12500</v>
      </c>
      <c r="J118" s="278">
        <v>12500</v>
      </c>
      <c r="K118" s="278">
        <v>12500</v>
      </c>
      <c r="L118" s="278">
        <v>12500</v>
      </c>
      <c r="M118" s="379">
        <v>12500</v>
      </c>
      <c r="N118" s="405">
        <f>SUM(B118:M118)</f>
        <v>150000</v>
      </c>
      <c r="O118" s="406">
        <v>150000</v>
      </c>
      <c r="P118" s="271"/>
      <c r="Q118" s="275"/>
      <c r="R118" s="398"/>
      <c r="S118" s="477"/>
    </row>
    <row r="119" spans="1:19" s="267" customFormat="1" ht="13">
      <c r="A119" s="571" t="s">
        <v>202</v>
      </c>
      <c r="B119" s="278">
        <v>7000</v>
      </c>
      <c r="C119" s="278">
        <v>7000</v>
      </c>
      <c r="D119" s="278">
        <v>7000</v>
      </c>
      <c r="E119" s="278">
        <v>7000</v>
      </c>
      <c r="F119" s="278">
        <v>7000</v>
      </c>
      <c r="G119" s="278">
        <v>7000</v>
      </c>
      <c r="H119" s="278">
        <v>7000</v>
      </c>
      <c r="I119" s="278">
        <v>7000</v>
      </c>
      <c r="J119" s="278">
        <v>7000</v>
      </c>
      <c r="K119" s="278">
        <v>7000</v>
      </c>
      <c r="L119" s="278">
        <v>7000</v>
      </c>
      <c r="M119" s="379">
        <v>7000</v>
      </c>
      <c r="N119" s="405">
        <f t="shared" ref="N119:N128" si="25">SUM(B119:M119)</f>
        <v>84000</v>
      </c>
      <c r="O119" s="406">
        <v>84000</v>
      </c>
      <c r="P119" s="271"/>
      <c r="Q119" s="275"/>
      <c r="R119" s="398"/>
      <c r="S119" s="477"/>
    </row>
    <row r="120" spans="1:19" s="267" customFormat="1" ht="13">
      <c r="A120" s="571" t="s">
        <v>203</v>
      </c>
      <c r="B120" s="278">
        <v>1700</v>
      </c>
      <c r="C120" s="278">
        <v>1700</v>
      </c>
      <c r="D120" s="278">
        <v>1700</v>
      </c>
      <c r="E120" s="278">
        <v>1700</v>
      </c>
      <c r="F120" s="278">
        <v>1700</v>
      </c>
      <c r="G120" s="278">
        <v>1700</v>
      </c>
      <c r="H120" s="278">
        <v>1700</v>
      </c>
      <c r="I120" s="278">
        <v>1700</v>
      </c>
      <c r="J120" s="278">
        <v>1700</v>
      </c>
      <c r="K120" s="278">
        <v>1700</v>
      </c>
      <c r="L120" s="278">
        <v>1700</v>
      </c>
      <c r="M120" s="379">
        <v>1700</v>
      </c>
      <c r="N120" s="405">
        <f>SUM(B120:M120)</f>
        <v>20400</v>
      </c>
      <c r="O120" s="406">
        <v>20400</v>
      </c>
      <c r="P120" s="271"/>
      <c r="Q120" s="275"/>
      <c r="R120" s="398"/>
      <c r="S120" s="477"/>
    </row>
    <row r="121" spans="1:19" s="267" customFormat="1" ht="13">
      <c r="A121" s="571" t="s">
        <v>204</v>
      </c>
      <c r="B121" s="278">
        <v>4000</v>
      </c>
      <c r="C121" s="278">
        <v>4000</v>
      </c>
      <c r="D121" s="278">
        <v>4000</v>
      </c>
      <c r="E121" s="278">
        <v>4000</v>
      </c>
      <c r="F121" s="278">
        <v>4000</v>
      </c>
      <c r="G121" s="278">
        <v>4000</v>
      </c>
      <c r="H121" s="278">
        <v>4000</v>
      </c>
      <c r="I121" s="278">
        <v>4000</v>
      </c>
      <c r="J121" s="278">
        <v>4000</v>
      </c>
      <c r="K121" s="278">
        <v>4000</v>
      </c>
      <c r="L121" s="278">
        <v>4000</v>
      </c>
      <c r="M121" s="379">
        <v>4000</v>
      </c>
      <c r="N121" s="405">
        <f t="shared" si="25"/>
        <v>48000</v>
      </c>
      <c r="O121" s="406">
        <v>48000</v>
      </c>
      <c r="P121" s="271"/>
      <c r="Q121" s="275"/>
      <c r="R121" s="398"/>
      <c r="S121" s="477"/>
    </row>
    <row r="122" spans="1:19" s="267" customFormat="1" ht="13">
      <c r="A122" s="571" t="s">
        <v>205</v>
      </c>
      <c r="B122" s="278">
        <v>500</v>
      </c>
      <c r="C122" s="278">
        <v>500</v>
      </c>
      <c r="D122" s="278">
        <v>500</v>
      </c>
      <c r="E122" s="278">
        <v>500</v>
      </c>
      <c r="F122" s="278">
        <v>500</v>
      </c>
      <c r="G122" s="278">
        <v>500</v>
      </c>
      <c r="H122" s="278">
        <v>500</v>
      </c>
      <c r="I122" s="278">
        <v>500</v>
      </c>
      <c r="J122" s="278">
        <v>500</v>
      </c>
      <c r="K122" s="278">
        <v>500</v>
      </c>
      <c r="L122" s="278">
        <v>500</v>
      </c>
      <c r="M122" s="379">
        <v>500</v>
      </c>
      <c r="N122" s="405">
        <f t="shared" si="25"/>
        <v>6000</v>
      </c>
      <c r="O122" s="406">
        <v>6000</v>
      </c>
      <c r="P122" s="271"/>
      <c r="Q122" s="275"/>
      <c r="R122" s="398"/>
      <c r="S122" s="477"/>
    </row>
    <row r="123" spans="1:19" s="267" customFormat="1" ht="13">
      <c r="A123" s="571" t="s">
        <v>206</v>
      </c>
      <c r="B123" s="278">
        <v>2000</v>
      </c>
      <c r="C123" s="278">
        <v>2000</v>
      </c>
      <c r="D123" s="278">
        <v>2000</v>
      </c>
      <c r="E123" s="278">
        <v>2000</v>
      </c>
      <c r="F123" s="278">
        <v>2000</v>
      </c>
      <c r="G123" s="278">
        <v>2000</v>
      </c>
      <c r="H123" s="278">
        <v>2000</v>
      </c>
      <c r="I123" s="278">
        <v>2000</v>
      </c>
      <c r="J123" s="278">
        <v>2000</v>
      </c>
      <c r="K123" s="278">
        <v>2000</v>
      </c>
      <c r="L123" s="278">
        <v>2000</v>
      </c>
      <c r="M123" s="379">
        <v>2000</v>
      </c>
      <c r="N123" s="405">
        <f t="shared" si="25"/>
        <v>24000</v>
      </c>
      <c r="O123" s="406">
        <v>24000</v>
      </c>
      <c r="P123" s="271"/>
      <c r="Q123" s="275"/>
      <c r="R123" s="398"/>
      <c r="S123" s="477"/>
    </row>
    <row r="124" spans="1:19" s="267" customFormat="1" ht="13">
      <c r="A124" s="571" t="s">
        <v>207</v>
      </c>
      <c r="B124" s="278">
        <v>2000</v>
      </c>
      <c r="C124" s="278">
        <v>2000</v>
      </c>
      <c r="D124" s="278">
        <v>2000</v>
      </c>
      <c r="E124" s="278">
        <v>2000</v>
      </c>
      <c r="F124" s="278">
        <v>2000</v>
      </c>
      <c r="G124" s="278">
        <v>2000</v>
      </c>
      <c r="H124" s="278">
        <v>2000</v>
      </c>
      <c r="I124" s="278">
        <v>2000</v>
      </c>
      <c r="J124" s="278">
        <v>2000</v>
      </c>
      <c r="K124" s="278">
        <v>2000</v>
      </c>
      <c r="L124" s="278">
        <v>2000</v>
      </c>
      <c r="M124" s="379">
        <v>2000</v>
      </c>
      <c r="N124" s="405">
        <f>SUM(B124:M124)</f>
        <v>24000</v>
      </c>
      <c r="O124" s="406">
        <v>24000</v>
      </c>
      <c r="P124" s="271"/>
      <c r="Q124" s="275"/>
      <c r="R124" s="398"/>
      <c r="S124" s="477"/>
    </row>
    <row r="125" spans="1:19" s="267" customFormat="1" ht="13">
      <c r="A125" s="571" t="s">
        <v>208</v>
      </c>
      <c r="B125" s="278">
        <v>4000</v>
      </c>
      <c r="C125" s="278">
        <v>4000</v>
      </c>
      <c r="D125" s="278">
        <v>4000</v>
      </c>
      <c r="E125" s="278">
        <v>4000</v>
      </c>
      <c r="F125" s="278">
        <v>4000</v>
      </c>
      <c r="G125" s="278">
        <v>4000</v>
      </c>
      <c r="H125" s="278">
        <v>4000</v>
      </c>
      <c r="I125" s="278">
        <v>4000</v>
      </c>
      <c r="J125" s="278">
        <v>4000</v>
      </c>
      <c r="K125" s="278">
        <v>4000</v>
      </c>
      <c r="L125" s="278">
        <v>4000</v>
      </c>
      <c r="M125" s="379">
        <v>4000</v>
      </c>
      <c r="N125" s="405">
        <f>SUM(B125:M125)</f>
        <v>48000</v>
      </c>
      <c r="O125" s="406">
        <v>48000</v>
      </c>
      <c r="P125" s="271"/>
      <c r="Q125" s="275"/>
      <c r="R125" s="398"/>
      <c r="S125" s="477"/>
    </row>
    <row r="126" spans="1:19" s="267" customFormat="1" ht="13">
      <c r="A126" s="571" t="s">
        <v>209</v>
      </c>
      <c r="B126" s="278">
        <v>3000</v>
      </c>
      <c r="C126" s="278">
        <v>3000</v>
      </c>
      <c r="D126" s="278">
        <v>3000</v>
      </c>
      <c r="E126" s="278">
        <v>3000</v>
      </c>
      <c r="F126" s="278">
        <v>3000</v>
      </c>
      <c r="G126" s="278">
        <v>3000</v>
      </c>
      <c r="H126" s="278">
        <v>3000</v>
      </c>
      <c r="I126" s="278">
        <v>3000</v>
      </c>
      <c r="J126" s="278">
        <v>3000</v>
      </c>
      <c r="K126" s="278">
        <v>3000</v>
      </c>
      <c r="L126" s="278">
        <v>3000</v>
      </c>
      <c r="M126" s="379">
        <v>3000</v>
      </c>
      <c r="N126" s="405">
        <f>SUM(B126:M126)</f>
        <v>36000</v>
      </c>
      <c r="O126" s="406">
        <v>36000</v>
      </c>
      <c r="P126" s="271"/>
      <c r="Q126" s="275"/>
      <c r="R126" s="398"/>
      <c r="S126" s="477"/>
    </row>
    <row r="127" spans="1:19" s="267" customFormat="1" ht="13">
      <c r="A127" s="420" t="s">
        <v>210</v>
      </c>
      <c r="B127" s="278">
        <v>0</v>
      </c>
      <c r="C127" s="271">
        <v>0</v>
      </c>
      <c r="D127" s="271">
        <v>0</v>
      </c>
      <c r="E127" s="271">
        <v>0</v>
      </c>
      <c r="F127" s="271">
        <v>0</v>
      </c>
      <c r="G127" s="271">
        <v>0</v>
      </c>
      <c r="H127" s="271">
        <v>0</v>
      </c>
      <c r="I127" s="271">
        <v>0</v>
      </c>
      <c r="J127" s="271">
        <f>'Payroll Worksheet'!AH23</f>
        <v>0</v>
      </c>
      <c r="K127" s="271">
        <f>'Payroll Worksheet'!AI23</f>
        <v>0</v>
      </c>
      <c r="L127" s="271">
        <f>'Payroll Worksheet'!AJ23</f>
        <v>0</v>
      </c>
      <c r="M127" s="379">
        <f>'Payroll Worksheet'!AK23</f>
        <v>0</v>
      </c>
      <c r="N127" s="405">
        <f t="shared" si="25"/>
        <v>0</v>
      </c>
      <c r="O127" s="406">
        <v>0</v>
      </c>
      <c r="P127" s="271">
        <v>891.46</v>
      </c>
      <c r="Q127" s="274">
        <f>N127-P127</f>
        <v>-891.46</v>
      </c>
      <c r="R127" s="398"/>
      <c r="S127" s="477"/>
    </row>
    <row r="128" spans="1:19" s="267" customFormat="1" ht="13">
      <c r="A128" s="420" t="s">
        <v>211</v>
      </c>
      <c r="B128" s="278">
        <v>0</v>
      </c>
      <c r="C128" s="271">
        <v>0</v>
      </c>
      <c r="D128" s="271">
        <v>0</v>
      </c>
      <c r="E128" s="271">
        <v>0</v>
      </c>
      <c r="F128" s="271">
        <v>0</v>
      </c>
      <c r="G128" s="271">
        <v>0</v>
      </c>
      <c r="H128" s="271">
        <v>0</v>
      </c>
      <c r="I128" s="271">
        <v>0</v>
      </c>
      <c r="J128" s="271">
        <f>'Payroll Worksheet'!AH21</f>
        <v>0</v>
      </c>
      <c r="K128" s="271">
        <f>'Payroll Worksheet'!AI21</f>
        <v>0</v>
      </c>
      <c r="L128" s="271">
        <f>'Payroll Worksheet'!AJ21</f>
        <v>0</v>
      </c>
      <c r="M128" s="379">
        <f>'Payroll Worksheet'!AK21</f>
        <v>0</v>
      </c>
      <c r="N128" s="405">
        <f t="shared" si="25"/>
        <v>0</v>
      </c>
      <c r="O128" s="406">
        <v>0</v>
      </c>
      <c r="P128" s="271">
        <v>11652.939999999999</v>
      </c>
      <c r="Q128" s="274">
        <f>N128-P128</f>
        <v>-11652.939999999999</v>
      </c>
      <c r="R128" s="398"/>
      <c r="S128" s="477"/>
    </row>
    <row r="129" spans="1:32" s="267" customFormat="1" ht="13">
      <c r="A129" s="420" t="s">
        <v>213</v>
      </c>
      <c r="B129" s="278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379"/>
      <c r="N129" s="405"/>
      <c r="O129" s="406"/>
      <c r="P129" s="271"/>
      <c r="Q129" s="274"/>
      <c r="R129" s="398"/>
      <c r="S129" s="477"/>
    </row>
    <row r="130" spans="1:32" s="267" customFormat="1" ht="13">
      <c r="A130" s="437" t="s">
        <v>214</v>
      </c>
      <c r="B130" s="276">
        <f t="shared" ref="B130:M130" si="26">SUM(B116:B129)</f>
        <v>54700</v>
      </c>
      <c r="C130" s="276">
        <f t="shared" si="26"/>
        <v>54700</v>
      </c>
      <c r="D130" s="276">
        <f t="shared" si="26"/>
        <v>54700</v>
      </c>
      <c r="E130" s="276">
        <f t="shared" si="26"/>
        <v>54700</v>
      </c>
      <c r="F130" s="276">
        <f t="shared" si="26"/>
        <v>54700</v>
      </c>
      <c r="G130" s="276">
        <f t="shared" si="26"/>
        <v>54700</v>
      </c>
      <c r="H130" s="276">
        <f t="shared" si="26"/>
        <v>54700</v>
      </c>
      <c r="I130" s="276">
        <f t="shared" si="26"/>
        <v>54700</v>
      </c>
      <c r="J130" s="276">
        <f t="shared" si="26"/>
        <v>54700</v>
      </c>
      <c r="K130" s="276">
        <f t="shared" si="26"/>
        <v>54700</v>
      </c>
      <c r="L130" s="276">
        <f t="shared" si="26"/>
        <v>54700</v>
      </c>
      <c r="M130" s="380">
        <f t="shared" si="26"/>
        <v>54700</v>
      </c>
      <c r="N130" s="400">
        <f>SUM(B130:M130)</f>
        <v>656400</v>
      </c>
      <c r="O130" s="401">
        <f>SUM(O116:O129)</f>
        <v>656400</v>
      </c>
      <c r="P130" s="276">
        <v>435205.91333333345</v>
      </c>
      <c r="Q130" s="276">
        <f>N130-P130</f>
        <v>221194.08666666655</v>
      </c>
      <c r="R130" s="398"/>
      <c r="S130" s="484"/>
    </row>
    <row r="131" spans="1:32" s="267" customFormat="1" ht="6" customHeight="1" thickBot="1">
      <c r="A131" s="419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384"/>
      <c r="N131" s="396"/>
      <c r="O131" s="397"/>
      <c r="P131" s="133"/>
      <c r="Q131" s="133"/>
      <c r="R131" s="398"/>
      <c r="S131" s="477"/>
    </row>
    <row r="132" spans="1:32" s="458" customFormat="1" ht="14" thickTop="1">
      <c r="A132" s="445" t="s">
        <v>107</v>
      </c>
      <c r="B132" s="453">
        <f t="shared" ref="B132:M132" si="27">B60+B75+B85+B108+B113+B130</f>
        <v>104750</v>
      </c>
      <c r="C132" s="446">
        <f t="shared" si="27"/>
        <v>119050</v>
      </c>
      <c r="D132" s="446">
        <f t="shared" si="27"/>
        <v>88650</v>
      </c>
      <c r="E132" s="446">
        <f t="shared" si="27"/>
        <v>97450</v>
      </c>
      <c r="F132" s="446">
        <f t="shared" si="27"/>
        <v>129850</v>
      </c>
      <c r="G132" s="446">
        <f t="shared" si="27"/>
        <v>96750</v>
      </c>
      <c r="H132" s="446">
        <f t="shared" si="27"/>
        <v>146350</v>
      </c>
      <c r="I132" s="446">
        <f t="shared" si="27"/>
        <v>111750</v>
      </c>
      <c r="J132" s="446">
        <f t="shared" si="27"/>
        <v>149950</v>
      </c>
      <c r="K132" s="446">
        <f t="shared" si="27"/>
        <v>165250</v>
      </c>
      <c r="L132" s="446">
        <f t="shared" si="27"/>
        <v>104950</v>
      </c>
      <c r="M132" s="447">
        <f t="shared" si="27"/>
        <v>110950</v>
      </c>
      <c r="N132" s="454">
        <f>SUM(B132:M132)</f>
        <v>1425700</v>
      </c>
      <c r="O132" s="455">
        <f>O60+O75+O85+O108+O113+O130</f>
        <v>1425700</v>
      </c>
      <c r="P132" s="453">
        <v>791196.94333333336</v>
      </c>
      <c r="Q132" s="456">
        <f>N132-P132</f>
        <v>634503.05666666664</v>
      </c>
      <c r="R132" s="457"/>
      <c r="S132" s="485"/>
    </row>
    <row r="133" spans="1:32" s="368" customFormat="1" ht="13" thickBot="1">
      <c r="A133" s="419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386"/>
      <c r="N133" s="396"/>
      <c r="O133" s="397"/>
      <c r="P133" s="285"/>
      <c r="Q133" s="285"/>
      <c r="R133" s="398"/>
      <c r="S133" s="478"/>
    </row>
    <row r="134" spans="1:32" s="466" customFormat="1" ht="18" thickBot="1">
      <c r="A134" s="554" t="s">
        <v>224</v>
      </c>
      <c r="B134" s="460">
        <f t="shared" ref="B134:O134" si="28">B48-B132</f>
        <v>12350</v>
      </c>
      <c r="C134" s="460">
        <f t="shared" si="28"/>
        <v>-7250</v>
      </c>
      <c r="D134" s="460">
        <f t="shared" si="28"/>
        <v>18100</v>
      </c>
      <c r="E134" s="460">
        <f t="shared" si="28"/>
        <v>24250</v>
      </c>
      <c r="F134" s="460">
        <f t="shared" si="28"/>
        <v>40350</v>
      </c>
      <c r="G134" s="460">
        <f t="shared" si="28"/>
        <v>87600</v>
      </c>
      <c r="H134" s="460">
        <f t="shared" si="28"/>
        <v>120250</v>
      </c>
      <c r="I134" s="460">
        <f t="shared" si="28"/>
        <v>101350</v>
      </c>
      <c r="J134" s="460">
        <f t="shared" si="28"/>
        <v>64450</v>
      </c>
      <c r="K134" s="460">
        <f t="shared" si="28"/>
        <v>237850</v>
      </c>
      <c r="L134" s="460">
        <f t="shared" si="28"/>
        <v>144550</v>
      </c>
      <c r="M134" s="461">
        <f t="shared" si="28"/>
        <v>202550</v>
      </c>
      <c r="N134" s="462">
        <f t="shared" si="28"/>
        <v>1046400</v>
      </c>
      <c r="O134" s="463">
        <f t="shared" si="28"/>
        <v>1046400</v>
      </c>
      <c r="P134" s="460">
        <v>388579.43666666653</v>
      </c>
      <c r="Q134" s="464"/>
      <c r="R134" s="465"/>
      <c r="S134" s="486"/>
    </row>
    <row r="135" spans="1:32" s="466" customFormat="1" ht="12">
      <c r="A135" s="548"/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  <c r="L135" s="536"/>
      <c r="M135" s="549"/>
      <c r="N135" s="550"/>
      <c r="O135" s="551"/>
      <c r="P135" s="536"/>
      <c r="Q135" s="552"/>
      <c r="R135" s="553"/>
      <c r="S135" s="486"/>
    </row>
    <row r="136" spans="1:32" s="267" customFormat="1" ht="26" customHeight="1">
      <c r="A136" s="578" t="s">
        <v>225</v>
      </c>
      <c r="B136" s="579"/>
      <c r="C136" s="579"/>
      <c r="D136" s="579"/>
      <c r="E136" s="579"/>
      <c r="F136" s="579"/>
      <c r="G136" s="579"/>
      <c r="H136" s="579"/>
      <c r="I136" s="579"/>
      <c r="J136" s="579"/>
      <c r="K136" s="579"/>
      <c r="L136" s="579"/>
      <c r="M136" s="580"/>
      <c r="N136" s="396"/>
      <c r="O136" s="397"/>
      <c r="P136" s="133"/>
      <c r="Q136" s="133"/>
      <c r="R136" s="394"/>
      <c r="S136" s="477"/>
    </row>
    <row r="137" spans="1:32" s="285" customFormat="1" ht="12">
      <c r="A137" s="427" t="s">
        <v>215</v>
      </c>
      <c r="B137" s="287">
        <v>165477</v>
      </c>
      <c r="C137" s="275">
        <f t="shared" ref="C137:M137" si="29">B139</f>
        <v>177827</v>
      </c>
      <c r="D137" s="371">
        <f t="shared" si="29"/>
        <v>170577</v>
      </c>
      <c r="E137" s="275">
        <f t="shared" si="29"/>
        <v>188677</v>
      </c>
      <c r="F137" s="275">
        <f t="shared" si="29"/>
        <v>212927</v>
      </c>
      <c r="G137" s="275">
        <f t="shared" si="29"/>
        <v>253277</v>
      </c>
      <c r="H137" s="275">
        <f t="shared" si="29"/>
        <v>340877</v>
      </c>
      <c r="I137" s="275">
        <f t="shared" si="29"/>
        <v>461127</v>
      </c>
      <c r="J137" s="275">
        <f t="shared" si="29"/>
        <v>562477</v>
      </c>
      <c r="K137" s="275">
        <f t="shared" si="29"/>
        <v>626927</v>
      </c>
      <c r="L137" s="275">
        <f t="shared" si="29"/>
        <v>864777</v>
      </c>
      <c r="M137" s="383">
        <f t="shared" si="29"/>
        <v>1009327</v>
      </c>
      <c r="N137" s="396"/>
      <c r="O137" s="397"/>
      <c r="P137" s="275" t="e">
        <f>P123+#REF!+P69</f>
        <v>#REF!</v>
      </c>
      <c r="Q137" s="275"/>
      <c r="R137" s="394"/>
      <c r="S137" s="487"/>
    </row>
    <row r="138" spans="1:32" s="267" customFormat="1" ht="12">
      <c r="A138" s="421"/>
      <c r="B138" s="414"/>
      <c r="C138" s="273"/>
      <c r="D138" s="371"/>
      <c r="E138" s="273"/>
      <c r="F138" s="273"/>
      <c r="G138" s="273"/>
      <c r="H138" s="273"/>
      <c r="I138" s="273"/>
      <c r="J138" s="273"/>
      <c r="K138" s="273"/>
      <c r="L138" s="273"/>
      <c r="M138" s="385"/>
      <c r="N138" s="396"/>
      <c r="O138" s="397"/>
      <c r="P138" s="133"/>
      <c r="Q138" s="133"/>
      <c r="R138" s="394"/>
      <c r="S138" s="477"/>
    </row>
    <row r="139" spans="1:32" s="376" customFormat="1" ht="12">
      <c r="A139" s="428" t="s">
        <v>216</v>
      </c>
      <c r="B139" s="415">
        <f>B134+B137</f>
        <v>177827</v>
      </c>
      <c r="C139" s="374">
        <f t="shared" ref="C139:M139" si="30">C134+C137</f>
        <v>170577</v>
      </c>
      <c r="D139" s="375">
        <f t="shared" si="30"/>
        <v>188677</v>
      </c>
      <c r="E139" s="374">
        <f t="shared" si="30"/>
        <v>212927</v>
      </c>
      <c r="F139" s="374">
        <f t="shared" si="30"/>
        <v>253277</v>
      </c>
      <c r="G139" s="374">
        <f t="shared" si="30"/>
        <v>340877</v>
      </c>
      <c r="H139" s="374">
        <f t="shared" si="30"/>
        <v>461127</v>
      </c>
      <c r="I139" s="374">
        <f t="shared" si="30"/>
        <v>562477</v>
      </c>
      <c r="J139" s="374">
        <f t="shared" si="30"/>
        <v>626927</v>
      </c>
      <c r="K139" s="374">
        <f>K134+K137</f>
        <v>864777</v>
      </c>
      <c r="L139" s="374">
        <f>L134+L137</f>
        <v>1009327</v>
      </c>
      <c r="M139" s="390">
        <f t="shared" si="30"/>
        <v>1211877</v>
      </c>
      <c r="N139" s="396"/>
      <c r="O139" s="397"/>
      <c r="P139" s="373"/>
      <c r="Q139" s="373"/>
      <c r="R139" s="394"/>
      <c r="S139" s="47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</row>
    <row r="140" spans="1:32" s="376" customFormat="1" ht="12">
      <c r="A140" s="427"/>
      <c r="B140" s="287"/>
      <c r="C140" s="275"/>
      <c r="D140" s="371"/>
      <c r="E140" s="275"/>
      <c r="F140" s="275"/>
      <c r="G140" s="275"/>
      <c r="H140" s="275"/>
      <c r="I140" s="275"/>
      <c r="J140" s="275"/>
      <c r="K140" s="275"/>
      <c r="L140" s="275"/>
      <c r="M140" s="383"/>
      <c r="N140" s="396"/>
      <c r="O140" s="397"/>
      <c r="P140" s="373"/>
      <c r="Q140" s="373"/>
      <c r="R140" s="394"/>
      <c r="S140" s="47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</row>
    <row r="141" spans="1:32" s="267" customFormat="1" ht="26">
      <c r="A141" s="419" t="s">
        <v>217</v>
      </c>
      <c r="B141" s="416"/>
      <c r="C141" s="269"/>
      <c r="D141" s="371"/>
      <c r="E141" s="269"/>
      <c r="F141" s="269"/>
      <c r="G141" s="269"/>
      <c r="H141" s="269"/>
      <c r="I141" s="269"/>
      <c r="J141" s="269"/>
      <c r="K141" s="269"/>
      <c r="L141" s="269"/>
      <c r="M141" s="391"/>
      <c r="N141" s="395"/>
      <c r="O141" s="411"/>
      <c r="P141" s="133"/>
      <c r="Q141" s="133"/>
      <c r="R141" s="394"/>
      <c r="S141" s="477"/>
    </row>
    <row r="142" spans="1:32">
      <c r="A142" s="417"/>
      <c r="B142" s="294"/>
      <c r="C142" s="294"/>
      <c r="D142" s="371"/>
      <c r="E142" s="301"/>
      <c r="F142" s="301"/>
      <c r="G142" s="301"/>
      <c r="H142" s="301"/>
      <c r="I142" s="301"/>
      <c r="J142" s="301"/>
      <c r="K142" s="301"/>
      <c r="L142" s="301"/>
      <c r="M142" s="301"/>
      <c r="N142" s="412"/>
      <c r="S142" s="476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</row>
    <row r="143" spans="1:32">
      <c r="A143" s="417"/>
      <c r="B143" s="294"/>
      <c r="C143" s="294"/>
      <c r="D143" s="371"/>
      <c r="E143" s="294"/>
      <c r="F143" s="294"/>
      <c r="G143" s="294"/>
      <c r="H143" s="294"/>
      <c r="I143" s="294"/>
      <c r="J143" s="294"/>
      <c r="K143" s="294"/>
      <c r="L143" s="294"/>
      <c r="M143" s="294"/>
      <c r="S143" s="476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</row>
    <row r="144" spans="1:32">
      <c r="A144" s="419"/>
      <c r="B144" s="294"/>
      <c r="C144" s="294"/>
      <c r="D144" s="371"/>
      <c r="E144" s="294"/>
      <c r="F144" s="372"/>
      <c r="G144" s="294"/>
      <c r="H144" s="294"/>
      <c r="I144" s="294"/>
      <c r="J144" s="294"/>
      <c r="K144" s="294"/>
      <c r="L144" s="294"/>
      <c r="M144" s="294"/>
      <c r="S144" s="476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5E477-7474-414C-BA6C-18AC6A16985C}">
  <dimension ref="A1:AC153"/>
  <sheetViews>
    <sheetView zoomScale="162" zoomScaleNormal="162" zoomScalePageLayoutView="150" workbookViewId="0">
      <pane xSplit="1" ySplit="3" topLeftCell="B50" activePane="bottomRight" state="frozen"/>
      <selection pane="topRight" activeCell="AW1" sqref="AW1"/>
      <selection pane="bottomLeft" activeCell="A4" sqref="A4"/>
      <selection pane="bottomRight" activeCell="A35" sqref="A35:XFD35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121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2.33203125" style="394" customWidth="1"/>
    <col min="19" max="19" width="18.1640625" style="121" customWidth="1"/>
    <col min="20" max="16384" width="8.83203125" style="121"/>
  </cols>
  <sheetData>
    <row r="1" spans="1:19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294"/>
      <c r="S1" s="294"/>
    </row>
    <row r="2" spans="1:19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297"/>
      <c r="S2" s="294"/>
    </row>
    <row r="3" spans="1:19" s="436" customFormat="1" ht="16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435">
        <v>44531</v>
      </c>
      <c r="N3" s="430" t="s">
        <v>112</v>
      </c>
      <c r="O3" s="431" t="s">
        <v>113</v>
      </c>
      <c r="P3" s="432" t="s">
        <v>114</v>
      </c>
      <c r="Q3" s="432" t="s">
        <v>115</v>
      </c>
      <c r="R3" s="433" t="s">
        <v>116</v>
      </c>
    </row>
    <row r="4" spans="1:19" s="267" customFormat="1" ht="13">
      <c r="A4" s="419" t="s">
        <v>9</v>
      </c>
      <c r="B4" s="41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387"/>
      <c r="N4" s="396"/>
      <c r="O4" s="397"/>
      <c r="P4" s="133"/>
      <c r="Q4" s="133"/>
      <c r="R4" s="394"/>
    </row>
    <row r="5" spans="1:19" s="267" customFormat="1" ht="13">
      <c r="A5" s="419" t="s">
        <v>10</v>
      </c>
      <c r="B5" s="27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379"/>
      <c r="N5" s="396"/>
      <c r="O5" s="397"/>
      <c r="P5" s="271"/>
      <c r="Q5" s="133"/>
      <c r="R5" s="394"/>
    </row>
    <row r="6" spans="1:19" s="267" customFormat="1" ht="13">
      <c r="A6" s="420" t="s">
        <v>11</v>
      </c>
      <c r="B6" s="278">
        <f>0</f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379">
        <f>0</f>
        <v>0</v>
      </c>
      <c r="N6" s="396">
        <f t="shared" ref="N6:N11" si="0">SUM(B6:M6)</f>
        <v>0</v>
      </c>
      <c r="O6" s="397">
        <v>0</v>
      </c>
      <c r="P6" s="271">
        <v>0</v>
      </c>
      <c r="Q6" s="274">
        <f>N6-P6</f>
        <v>0</v>
      </c>
      <c r="R6" s="398">
        <f>O6-N6</f>
        <v>0</v>
      </c>
    </row>
    <row r="7" spans="1:19" s="267" customFormat="1" ht="13">
      <c r="A7" s="420" t="s">
        <v>118</v>
      </c>
      <c r="B7" s="278">
        <v>600</v>
      </c>
      <c r="C7" s="278">
        <v>600</v>
      </c>
      <c r="D7" s="278">
        <v>600</v>
      </c>
      <c r="E7" s="278">
        <v>600</v>
      </c>
      <c r="F7" s="271">
        <v>10000</v>
      </c>
      <c r="G7" s="271">
        <v>11200</v>
      </c>
      <c r="H7" s="271">
        <v>600</v>
      </c>
      <c r="I7" s="271">
        <v>600</v>
      </c>
      <c r="J7" s="271">
        <v>1100</v>
      </c>
      <c r="K7" s="271">
        <v>600</v>
      </c>
      <c r="L7" s="271">
        <v>10000</v>
      </c>
      <c r="M7" s="379">
        <v>10000</v>
      </c>
      <c r="N7" s="396">
        <f t="shared" si="0"/>
        <v>46500</v>
      </c>
      <c r="O7" s="397">
        <v>46500</v>
      </c>
      <c r="P7" s="271"/>
      <c r="Q7" s="274">
        <f t="shared" ref="Q7:Q23" si="1">N7-P7</f>
        <v>46500</v>
      </c>
      <c r="R7" s="398">
        <f>O7-N7</f>
        <v>0</v>
      </c>
    </row>
    <row r="8" spans="1:19" s="267" customFormat="1" ht="13">
      <c r="A8" s="420" t="s">
        <v>13</v>
      </c>
      <c r="B8" s="278">
        <v>0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379">
        <v>0</v>
      </c>
      <c r="N8" s="396">
        <f t="shared" si="0"/>
        <v>0</v>
      </c>
      <c r="O8" s="397">
        <v>0</v>
      </c>
      <c r="P8" s="271">
        <v>5000</v>
      </c>
      <c r="Q8" s="274">
        <f t="shared" si="1"/>
        <v>-5000</v>
      </c>
      <c r="R8" s="398">
        <f t="shared" ref="R8:R79" si="2">O8-N8</f>
        <v>0</v>
      </c>
    </row>
    <row r="9" spans="1:19" s="267" customFormat="1" ht="12">
      <c r="A9" s="421" t="s">
        <v>119</v>
      </c>
      <c r="B9" s="278">
        <v>6250</v>
      </c>
      <c r="C9" s="271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379">
        <v>3750</v>
      </c>
      <c r="N9" s="396">
        <f t="shared" si="0"/>
        <v>40000</v>
      </c>
      <c r="O9" s="399">
        <v>40000</v>
      </c>
      <c r="P9" s="271">
        <v>77000</v>
      </c>
      <c r="Q9" s="274">
        <f t="shared" si="1"/>
        <v>-37000</v>
      </c>
      <c r="R9" s="398">
        <f t="shared" si="2"/>
        <v>0</v>
      </c>
    </row>
    <row r="10" spans="1:19" s="267" customFormat="1" ht="15" customHeight="1">
      <c r="A10" s="420" t="s">
        <v>121</v>
      </c>
      <c r="B10" s="278">
        <v>10000</v>
      </c>
      <c r="C10" s="271">
        <v>4700</v>
      </c>
      <c r="D10" s="271">
        <v>4400</v>
      </c>
      <c r="E10" s="271">
        <v>6600</v>
      </c>
      <c r="F10" s="271">
        <v>8700</v>
      </c>
      <c r="G10" s="271">
        <v>7900</v>
      </c>
      <c r="H10" s="271">
        <v>5500</v>
      </c>
      <c r="I10" s="271">
        <v>35000</v>
      </c>
      <c r="J10" s="271">
        <v>3800</v>
      </c>
      <c r="K10" s="271">
        <v>100000</v>
      </c>
      <c r="L10" s="271">
        <v>15000</v>
      </c>
      <c r="M10" s="379">
        <v>35000</v>
      </c>
      <c r="N10" s="396">
        <f t="shared" si="0"/>
        <v>236600</v>
      </c>
      <c r="O10" s="397">
        <v>236600</v>
      </c>
      <c r="P10" s="271">
        <v>697365.77</v>
      </c>
      <c r="Q10" s="274">
        <f t="shared" si="1"/>
        <v>-460765.77</v>
      </c>
      <c r="R10" s="398">
        <f t="shared" si="2"/>
        <v>0</v>
      </c>
    </row>
    <row r="11" spans="1:19" s="267" customFormat="1" ht="13">
      <c r="A11" s="419" t="s">
        <v>19</v>
      </c>
      <c r="B11" s="276">
        <f t="shared" ref="B11:M11" si="3">SUM(B6:B10)</f>
        <v>16850</v>
      </c>
      <c r="C11" s="276">
        <f t="shared" si="3"/>
        <v>6550</v>
      </c>
      <c r="D11" s="276">
        <f t="shared" si="3"/>
        <v>7500</v>
      </c>
      <c r="E11" s="276">
        <f t="shared" si="3"/>
        <v>8450</v>
      </c>
      <c r="F11" s="276">
        <f t="shared" si="3"/>
        <v>19950</v>
      </c>
      <c r="G11" s="276">
        <f t="shared" si="3"/>
        <v>26600</v>
      </c>
      <c r="H11" s="276">
        <f t="shared" si="3"/>
        <v>7350</v>
      </c>
      <c r="I11" s="276">
        <f t="shared" si="3"/>
        <v>36850</v>
      </c>
      <c r="J11" s="276">
        <f t="shared" si="3"/>
        <v>16150</v>
      </c>
      <c r="K11" s="276">
        <f t="shared" si="3"/>
        <v>101850</v>
      </c>
      <c r="L11" s="276">
        <f t="shared" si="3"/>
        <v>26250</v>
      </c>
      <c r="M11" s="380">
        <f t="shared" si="3"/>
        <v>48750</v>
      </c>
      <c r="N11" s="439">
        <f t="shared" si="0"/>
        <v>323100</v>
      </c>
      <c r="O11" s="440">
        <f>SUM(O6:O10)</f>
        <v>323100</v>
      </c>
      <c r="P11" s="276">
        <v>779365.77</v>
      </c>
      <c r="Q11" s="275">
        <f t="shared" si="1"/>
        <v>-456265.77</v>
      </c>
      <c r="R11" s="441">
        <f t="shared" si="2"/>
        <v>0</v>
      </c>
    </row>
    <row r="12" spans="1:19" s="267" customFormat="1" ht="6" customHeight="1">
      <c r="A12" s="420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384"/>
      <c r="N12" s="396"/>
      <c r="O12" s="397"/>
      <c r="P12" s="133"/>
      <c r="Q12" s="274"/>
      <c r="R12" s="398"/>
    </row>
    <row r="13" spans="1:19" s="267" customFormat="1" ht="13">
      <c r="A13" s="419" t="s">
        <v>122</v>
      </c>
      <c r="B13" s="278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379"/>
      <c r="N13" s="396"/>
      <c r="O13" s="397"/>
      <c r="P13" s="271"/>
      <c r="Q13" s="274"/>
      <c r="R13" s="398"/>
    </row>
    <row r="14" spans="1:19" s="267" customFormat="1" ht="13">
      <c r="A14" s="420" t="s">
        <v>21</v>
      </c>
      <c r="B14" s="278">
        <v>0</v>
      </c>
      <c r="C14" s="271">
        <v>0</v>
      </c>
      <c r="D14" s="271">
        <v>0</v>
      </c>
      <c r="E14" s="271">
        <v>0</v>
      </c>
      <c r="F14" s="271">
        <v>17000</v>
      </c>
      <c r="G14" s="271">
        <v>17000</v>
      </c>
      <c r="H14" s="271">
        <v>17000</v>
      </c>
      <c r="I14" s="271">
        <v>17000</v>
      </c>
      <c r="J14" s="271">
        <v>17000</v>
      </c>
      <c r="K14" s="271">
        <v>17000</v>
      </c>
      <c r="L14" s="271">
        <v>0</v>
      </c>
      <c r="M14" s="379">
        <f>0</f>
        <v>0</v>
      </c>
      <c r="N14" s="396">
        <f>SUM(B14:M14)</f>
        <v>102000</v>
      </c>
      <c r="O14" s="397">
        <v>0</v>
      </c>
      <c r="P14" s="271"/>
      <c r="Q14" s="274"/>
      <c r="R14" s="398">
        <f>+O14-N14</f>
        <v>-102000</v>
      </c>
      <c r="S14" s="267" t="s">
        <v>226</v>
      </c>
    </row>
    <row r="15" spans="1:19" s="267" customFormat="1" ht="13">
      <c r="A15" s="419" t="s">
        <v>124</v>
      </c>
      <c r="B15" s="278">
        <v>0</v>
      </c>
      <c r="C15" s="271">
        <f>0</f>
        <v>0</v>
      </c>
      <c r="D15" s="271">
        <v>0</v>
      </c>
      <c r="E15" s="271">
        <v>0</v>
      </c>
      <c r="F15" s="271">
        <v>10000</v>
      </c>
      <c r="G15" s="271">
        <f>0</f>
        <v>0</v>
      </c>
      <c r="H15" s="271">
        <v>10000</v>
      </c>
      <c r="I15" s="271">
        <f>0</f>
        <v>0</v>
      </c>
      <c r="J15" s="271">
        <v>10000</v>
      </c>
      <c r="K15" s="271">
        <f>0</f>
        <v>0</v>
      </c>
      <c r="L15" s="271">
        <f>0</f>
        <v>0</v>
      </c>
      <c r="M15" s="379">
        <f>0</f>
        <v>0</v>
      </c>
      <c r="N15" s="396">
        <f>SUM(B15:M15)</f>
        <v>30000</v>
      </c>
      <c r="O15" s="397">
        <v>0</v>
      </c>
      <c r="P15" s="271"/>
      <c r="Q15" s="274"/>
      <c r="R15" s="398">
        <f>O15-N15</f>
        <v>-30000</v>
      </c>
    </row>
    <row r="16" spans="1:19" s="267" customFormat="1" ht="13">
      <c r="A16" s="420" t="s">
        <v>25</v>
      </c>
      <c r="B16" s="278">
        <v>0</v>
      </c>
      <c r="C16" s="271">
        <f>0</f>
        <v>0</v>
      </c>
      <c r="D16" s="271">
        <f>0</f>
        <v>0</v>
      </c>
      <c r="E16" s="271">
        <f>0</f>
        <v>0</v>
      </c>
      <c r="F16" s="271">
        <f>0</f>
        <v>0</v>
      </c>
      <c r="G16" s="278">
        <f>0</f>
        <v>0</v>
      </c>
      <c r="H16" s="271">
        <f>0</f>
        <v>0</v>
      </c>
      <c r="I16" s="271">
        <f>0</f>
        <v>0</v>
      </c>
      <c r="J16" s="271">
        <f>0</f>
        <v>0</v>
      </c>
      <c r="K16" s="271">
        <f>0</f>
        <v>0</v>
      </c>
      <c r="L16" s="271">
        <f>0</f>
        <v>0</v>
      </c>
      <c r="M16" s="379">
        <f>0</f>
        <v>0</v>
      </c>
      <c r="N16" s="396">
        <f>SUM(B16:M16)</f>
        <v>0</v>
      </c>
      <c r="O16" s="397">
        <v>0</v>
      </c>
      <c r="P16" s="271"/>
      <c r="Q16" s="274"/>
      <c r="R16" s="398">
        <f>O16-N16</f>
        <v>0</v>
      </c>
    </row>
    <row r="17" spans="1:18" s="368" customFormat="1" ht="13">
      <c r="A17" s="419" t="s">
        <v>125</v>
      </c>
      <c r="B17" s="276">
        <f>SUM(B14:B16)</f>
        <v>0</v>
      </c>
      <c r="C17" s="276">
        <f t="shared" ref="C17:M17" si="4">SUM(C14:C16)</f>
        <v>0</v>
      </c>
      <c r="D17" s="276">
        <f t="shared" si="4"/>
        <v>0</v>
      </c>
      <c r="E17" s="276">
        <f t="shared" si="4"/>
        <v>0</v>
      </c>
      <c r="F17" s="276">
        <f t="shared" si="4"/>
        <v>27000</v>
      </c>
      <c r="G17" s="276">
        <f t="shared" si="4"/>
        <v>17000</v>
      </c>
      <c r="H17" s="276">
        <f t="shared" si="4"/>
        <v>27000</v>
      </c>
      <c r="I17" s="276">
        <f t="shared" si="4"/>
        <v>17000</v>
      </c>
      <c r="J17" s="276">
        <f t="shared" si="4"/>
        <v>27000</v>
      </c>
      <c r="K17" s="276">
        <f t="shared" si="4"/>
        <v>17000</v>
      </c>
      <c r="L17" s="276">
        <f t="shared" si="4"/>
        <v>0</v>
      </c>
      <c r="M17" s="380">
        <f t="shared" si="4"/>
        <v>0</v>
      </c>
      <c r="N17" s="439">
        <f>SUM(B17:M17)</f>
        <v>132000</v>
      </c>
      <c r="O17" s="440">
        <f>SUM(O14:O16)</f>
        <v>0</v>
      </c>
      <c r="P17" s="276"/>
      <c r="Q17" s="276"/>
      <c r="R17" s="441">
        <f>O17-N17</f>
        <v>-132000</v>
      </c>
    </row>
    <row r="18" spans="1:18" s="267" customFormat="1" ht="6" customHeight="1">
      <c r="A18" s="420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384"/>
      <c r="N18" s="396"/>
      <c r="O18" s="397"/>
      <c r="P18" s="272"/>
      <c r="Q18" s="274"/>
      <c r="R18" s="398"/>
    </row>
    <row r="19" spans="1:18" s="267" customFormat="1" ht="13">
      <c r="A19" s="419" t="s">
        <v>27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379"/>
      <c r="N19" s="396"/>
      <c r="O19" s="397"/>
      <c r="P19" s="271"/>
      <c r="Q19" s="274"/>
      <c r="R19" s="398"/>
    </row>
    <row r="20" spans="1:18" s="267" customFormat="1" ht="13">
      <c r="A20" s="420" t="s">
        <v>126</v>
      </c>
      <c r="B20" s="278">
        <f>0</f>
        <v>0</v>
      </c>
      <c r="C20" s="271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379">
        <f>0</f>
        <v>0</v>
      </c>
      <c r="N20" s="396">
        <f>SUM(B20:M20)</f>
        <v>0</v>
      </c>
      <c r="O20" s="397">
        <v>0</v>
      </c>
      <c r="P20" s="271">
        <v>-651.64999999999986</v>
      </c>
      <c r="Q20" s="274">
        <f t="shared" si="1"/>
        <v>651.64999999999986</v>
      </c>
      <c r="R20" s="398">
        <f t="shared" si="2"/>
        <v>0</v>
      </c>
    </row>
    <row r="21" spans="1:18" s="267" customFormat="1" ht="13">
      <c r="A21" s="420" t="s">
        <v>127</v>
      </c>
      <c r="B21" s="286">
        <v>350</v>
      </c>
      <c r="C21" s="286">
        <v>350</v>
      </c>
      <c r="D21" s="286">
        <v>350</v>
      </c>
      <c r="E21" s="286">
        <v>350</v>
      </c>
      <c r="F21" s="286">
        <v>350</v>
      </c>
      <c r="G21" s="286">
        <v>350</v>
      </c>
      <c r="H21" s="286">
        <v>350</v>
      </c>
      <c r="I21" s="286">
        <v>350</v>
      </c>
      <c r="J21" s="286">
        <v>350</v>
      </c>
      <c r="K21" s="286">
        <v>350</v>
      </c>
      <c r="L21" s="286">
        <v>350</v>
      </c>
      <c r="M21" s="378">
        <v>350</v>
      </c>
      <c r="N21" s="396">
        <f>SUM(B21:M21)</f>
        <v>4200</v>
      </c>
      <c r="O21" s="397">
        <v>4200</v>
      </c>
      <c r="P21" s="274"/>
      <c r="Q21" s="274">
        <f t="shared" si="1"/>
        <v>4200</v>
      </c>
      <c r="R21" s="398">
        <f t="shared" si="2"/>
        <v>0</v>
      </c>
    </row>
    <row r="22" spans="1:18" s="267" customFormat="1" ht="13">
      <c r="A22" s="420" t="s">
        <v>128</v>
      </c>
      <c r="B22" s="278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385"/>
      <c r="N22" s="396">
        <f>SUM(B22:M22)</f>
        <v>0</v>
      </c>
      <c r="O22" s="397">
        <v>0</v>
      </c>
      <c r="P22" s="274"/>
      <c r="Q22" s="274">
        <f t="shared" si="1"/>
        <v>0</v>
      </c>
      <c r="R22" s="398">
        <f t="shared" si="2"/>
        <v>0</v>
      </c>
    </row>
    <row r="23" spans="1:18" s="267" customFormat="1" ht="13">
      <c r="A23" s="422" t="s">
        <v>29</v>
      </c>
      <c r="B23" s="276">
        <f>SUM(B19:B22)</f>
        <v>350</v>
      </c>
      <c r="C23" s="276">
        <f>SUM(C20:C22)</f>
        <v>350</v>
      </c>
      <c r="D23" s="276">
        <f t="shared" ref="D23:M23" si="5">SUM(D20:D22)</f>
        <v>350</v>
      </c>
      <c r="E23" s="276">
        <f t="shared" si="5"/>
        <v>350</v>
      </c>
      <c r="F23" s="276">
        <f t="shared" si="5"/>
        <v>350</v>
      </c>
      <c r="G23" s="276">
        <f t="shared" si="5"/>
        <v>350</v>
      </c>
      <c r="H23" s="276">
        <f>SUM(H19:H22)</f>
        <v>350</v>
      </c>
      <c r="I23" s="276">
        <f t="shared" si="5"/>
        <v>350</v>
      </c>
      <c r="J23" s="276">
        <f t="shared" si="5"/>
        <v>350</v>
      </c>
      <c r="K23" s="276">
        <f t="shared" si="5"/>
        <v>350</v>
      </c>
      <c r="L23" s="276">
        <f t="shared" si="5"/>
        <v>350</v>
      </c>
      <c r="M23" s="380">
        <f t="shared" si="5"/>
        <v>350</v>
      </c>
      <c r="N23" s="439">
        <f>SUM(B23:M23)</f>
        <v>4200</v>
      </c>
      <c r="O23" s="440">
        <f>SUM(O20:O22)</f>
        <v>4200</v>
      </c>
      <c r="P23" s="276">
        <v>-651.64999999999986</v>
      </c>
      <c r="Q23" s="276">
        <f t="shared" si="1"/>
        <v>4851.6499999999996</v>
      </c>
      <c r="R23" s="441">
        <f t="shared" si="2"/>
        <v>0</v>
      </c>
    </row>
    <row r="24" spans="1:18" s="267" customFormat="1" ht="6" customHeight="1">
      <c r="A24" s="420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384"/>
      <c r="N24" s="396"/>
      <c r="O24" s="397"/>
      <c r="P24" s="133"/>
      <c r="Q24" s="133"/>
      <c r="R24" s="398"/>
    </row>
    <row r="25" spans="1:18" s="267" customFormat="1" ht="13">
      <c r="A25" s="419" t="s">
        <v>30</v>
      </c>
      <c r="B25" s="278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379"/>
      <c r="N25" s="396"/>
      <c r="O25" s="397"/>
      <c r="P25" s="133"/>
      <c r="Q25" s="133"/>
      <c r="R25" s="398"/>
    </row>
    <row r="26" spans="1:18" s="267" customFormat="1" ht="13">
      <c r="A26" s="420" t="s">
        <v>31</v>
      </c>
      <c r="B26" s="278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379">
        <v>0</v>
      </c>
      <c r="N26" s="396">
        <f t="shared" ref="N26:N44" si="6">SUM(B26:M26)</f>
        <v>0</v>
      </c>
      <c r="O26" s="397">
        <v>0</v>
      </c>
      <c r="P26" s="271">
        <v>6.1899999999999995</v>
      </c>
      <c r="Q26" s="274">
        <f>N26-P26</f>
        <v>-6.1899999999999995</v>
      </c>
      <c r="R26" s="398">
        <f t="shared" si="2"/>
        <v>0</v>
      </c>
    </row>
    <row r="27" spans="1:18" s="267" customFormat="1" ht="13">
      <c r="A27" s="420" t="s">
        <v>129</v>
      </c>
      <c r="B27" s="278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379">
        <v>0</v>
      </c>
      <c r="N27" s="396">
        <f t="shared" si="6"/>
        <v>0</v>
      </c>
      <c r="O27" s="397">
        <v>0</v>
      </c>
      <c r="P27" s="271">
        <v>288.74999999999994</v>
      </c>
      <c r="Q27" s="274">
        <f t="shared" ref="Q27:Q44" si="7">N27-P27</f>
        <v>-288.74999999999994</v>
      </c>
      <c r="R27" s="398">
        <f t="shared" si="2"/>
        <v>0</v>
      </c>
    </row>
    <row r="28" spans="1:18" s="267" customFormat="1" ht="13">
      <c r="A28" s="420" t="s">
        <v>130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379">
        <v>0</v>
      </c>
      <c r="N28" s="396">
        <f t="shared" si="6"/>
        <v>0</v>
      </c>
      <c r="O28" s="397">
        <v>0</v>
      </c>
      <c r="P28" s="271"/>
      <c r="Q28" s="274">
        <f t="shared" si="7"/>
        <v>0</v>
      </c>
      <c r="R28" s="398">
        <f t="shared" si="2"/>
        <v>0</v>
      </c>
    </row>
    <row r="29" spans="1:18" s="267" customFormat="1" ht="13" hidden="1">
      <c r="A29" s="420" t="s">
        <v>131</v>
      </c>
      <c r="B29" s="278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379"/>
      <c r="N29" s="396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398">
        <f t="shared" si="2"/>
        <v>0</v>
      </c>
    </row>
    <row r="30" spans="1:18" s="267" customFormat="1" ht="13" hidden="1">
      <c r="A30" s="420" t="s">
        <v>132</v>
      </c>
      <c r="B30" s="278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379"/>
      <c r="N30" s="396">
        <f t="shared" si="6"/>
        <v>0</v>
      </c>
      <c r="O30" s="397">
        <v>0</v>
      </c>
      <c r="P30" s="271">
        <v>0</v>
      </c>
      <c r="Q30" s="274">
        <f t="shared" si="7"/>
        <v>0</v>
      </c>
      <c r="R30" s="398">
        <f t="shared" si="2"/>
        <v>0</v>
      </c>
    </row>
    <row r="31" spans="1:18" s="267" customFormat="1" ht="13" hidden="1">
      <c r="A31" s="420" t="s">
        <v>133</v>
      </c>
      <c r="B31" s="278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379"/>
      <c r="N31" s="396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398">
        <f t="shared" si="2"/>
        <v>0</v>
      </c>
    </row>
    <row r="32" spans="1:18" s="267" customFormat="1" ht="13">
      <c r="A32" s="420" t="s">
        <v>39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379"/>
      <c r="N32" s="396"/>
      <c r="O32" s="397"/>
      <c r="P32" s="271">
        <v>99794.28</v>
      </c>
      <c r="Q32" s="274">
        <f t="shared" si="7"/>
        <v>-99794.28</v>
      </c>
      <c r="R32" s="398">
        <f>O32-N32</f>
        <v>0</v>
      </c>
    </row>
    <row r="33" spans="1:22" s="267" customFormat="1" ht="13">
      <c r="A33" s="420" t="s">
        <v>134</v>
      </c>
      <c r="B33" s="278">
        <v>600</v>
      </c>
      <c r="C33" s="278">
        <v>600</v>
      </c>
      <c r="D33" s="278">
        <v>600</v>
      </c>
      <c r="E33" s="278">
        <v>600</v>
      </c>
      <c r="F33" s="278">
        <v>600</v>
      </c>
      <c r="G33" s="278">
        <v>600</v>
      </c>
      <c r="H33" s="278">
        <v>600</v>
      </c>
      <c r="I33" s="278">
        <v>600</v>
      </c>
      <c r="J33" s="278">
        <v>600</v>
      </c>
      <c r="K33" s="278">
        <v>600</v>
      </c>
      <c r="L33" s="278">
        <v>600</v>
      </c>
      <c r="M33" s="278">
        <v>600</v>
      </c>
      <c r="N33" s="396">
        <f t="shared" ref="N33:N38" si="8">SUM(B33:M33)</f>
        <v>7200</v>
      </c>
      <c r="O33" s="397">
        <v>12000</v>
      </c>
      <c r="P33" s="271"/>
      <c r="Q33" s="274"/>
      <c r="R33" s="398">
        <f t="shared" si="2"/>
        <v>4800</v>
      </c>
    </row>
    <row r="34" spans="1:22" s="267" customFormat="1" ht="13">
      <c r="A34" s="420" t="s">
        <v>135</v>
      </c>
      <c r="B34" s="278">
        <v>1700</v>
      </c>
      <c r="C34" s="278">
        <v>1700</v>
      </c>
      <c r="D34" s="278">
        <v>1700</v>
      </c>
      <c r="E34" s="278">
        <v>1700</v>
      </c>
      <c r="F34" s="278">
        <v>1700</v>
      </c>
      <c r="G34" s="278">
        <v>1700</v>
      </c>
      <c r="H34" s="278">
        <v>1700</v>
      </c>
      <c r="I34" s="278">
        <v>1700</v>
      </c>
      <c r="J34" s="278">
        <v>1700</v>
      </c>
      <c r="K34" s="278">
        <v>1700</v>
      </c>
      <c r="L34" s="278">
        <v>1700</v>
      </c>
      <c r="M34" s="278">
        <v>1700</v>
      </c>
      <c r="N34" s="396">
        <f t="shared" si="8"/>
        <v>20400</v>
      </c>
      <c r="O34" s="397">
        <v>25200</v>
      </c>
      <c r="P34" s="271"/>
      <c r="Q34" s="274"/>
      <c r="R34" s="398">
        <f t="shared" si="2"/>
        <v>4800</v>
      </c>
    </row>
    <row r="35" spans="1:22" s="499" customFormat="1" ht="86" customHeight="1">
      <c r="A35" s="491" t="s">
        <v>136</v>
      </c>
      <c r="B35" s="492">
        <v>66000</v>
      </c>
      <c r="C35" s="493">
        <v>69000</v>
      </c>
      <c r="D35" s="493">
        <v>72000</v>
      </c>
      <c r="E35" s="493">
        <v>76000</v>
      </c>
      <c r="F35" s="493">
        <v>83000</v>
      </c>
      <c r="G35" s="493">
        <v>92000</v>
      </c>
      <c r="H35" s="493">
        <v>101000</v>
      </c>
      <c r="I35" s="493">
        <v>111000</v>
      </c>
      <c r="J35" s="493">
        <v>122000</v>
      </c>
      <c r="K35" s="493">
        <v>141000</v>
      </c>
      <c r="L35" s="493">
        <v>162000</v>
      </c>
      <c r="M35" s="494">
        <v>186000</v>
      </c>
      <c r="N35" s="495">
        <f t="shared" si="8"/>
        <v>1281000</v>
      </c>
      <c r="O35" s="496">
        <v>1706000</v>
      </c>
      <c r="P35" s="493"/>
      <c r="Q35" s="497"/>
      <c r="R35" s="498">
        <f t="shared" si="2"/>
        <v>425000</v>
      </c>
      <c r="S35" s="500" t="s">
        <v>227</v>
      </c>
    </row>
    <row r="36" spans="1:22" s="267" customFormat="1" ht="13">
      <c r="A36" s="420" t="s">
        <v>137</v>
      </c>
      <c r="B36" s="278">
        <v>9000</v>
      </c>
      <c r="C36" s="278">
        <v>9000</v>
      </c>
      <c r="D36" s="278">
        <v>9000</v>
      </c>
      <c r="E36" s="278">
        <v>9000</v>
      </c>
      <c r="F36" s="278">
        <v>9000</v>
      </c>
      <c r="G36" s="278">
        <v>9000</v>
      </c>
      <c r="H36" s="278">
        <v>9000</v>
      </c>
      <c r="I36" s="278">
        <v>9000</v>
      </c>
      <c r="J36" s="278">
        <v>9000</v>
      </c>
      <c r="K36" s="278">
        <v>9000</v>
      </c>
      <c r="L36" s="278">
        <v>9000</v>
      </c>
      <c r="M36" s="278">
        <v>9000</v>
      </c>
      <c r="N36" s="396">
        <f t="shared" si="8"/>
        <v>108000</v>
      </c>
      <c r="O36" s="397">
        <v>151200</v>
      </c>
      <c r="P36" s="271">
        <v>15873</v>
      </c>
      <c r="Q36" s="274">
        <f t="shared" si="7"/>
        <v>92127</v>
      </c>
      <c r="R36" s="398">
        <f t="shared" si="2"/>
        <v>43200</v>
      </c>
    </row>
    <row r="37" spans="1:22" s="267" customFormat="1" ht="13">
      <c r="A37" s="420" t="s">
        <v>138</v>
      </c>
      <c r="B37" s="278">
        <v>0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78">
        <v>87000</v>
      </c>
      <c r="I37" s="271">
        <v>0</v>
      </c>
      <c r="J37" s="271">
        <v>0</v>
      </c>
      <c r="K37" s="271">
        <v>87000</v>
      </c>
      <c r="L37" s="271">
        <v>0</v>
      </c>
      <c r="M37" s="379">
        <v>0</v>
      </c>
      <c r="N37" s="396">
        <f t="shared" si="8"/>
        <v>174000</v>
      </c>
      <c r="O37" s="397">
        <v>174000</v>
      </c>
      <c r="P37" s="271"/>
      <c r="Q37" s="274"/>
      <c r="R37" s="398">
        <f t="shared" si="2"/>
        <v>0</v>
      </c>
    </row>
    <row r="38" spans="1:22" s="267" customFormat="1" ht="13">
      <c r="A38" s="420" t="s">
        <v>139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379">
        <v>0</v>
      </c>
      <c r="N38" s="396">
        <f t="shared" si="8"/>
        <v>0</v>
      </c>
      <c r="O38" s="397">
        <v>0</v>
      </c>
      <c r="P38" s="271"/>
      <c r="Q38" s="274">
        <f>N38-P38</f>
        <v>0</v>
      </c>
      <c r="R38" s="398">
        <f>O38-N38</f>
        <v>0</v>
      </c>
    </row>
    <row r="39" spans="1:22" s="267" customFormat="1" ht="12">
      <c r="A39" s="420"/>
      <c r="B39" s="278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379"/>
      <c r="N39" s="396"/>
      <c r="O39" s="397"/>
      <c r="P39" s="271"/>
      <c r="Q39" s="274"/>
      <c r="R39" s="398"/>
    </row>
    <row r="40" spans="1:22" s="267" customFormat="1" ht="13">
      <c r="A40" s="420" t="s">
        <v>140</v>
      </c>
      <c r="B40" s="278">
        <v>0</v>
      </c>
      <c r="C40" s="367">
        <v>0</v>
      </c>
      <c r="D40" s="271">
        <v>-10000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-10000</v>
      </c>
      <c r="K40" s="271">
        <v>0</v>
      </c>
      <c r="L40" s="271">
        <v>0</v>
      </c>
      <c r="M40" s="379">
        <v>0</v>
      </c>
      <c r="N40" s="396">
        <f>SUM(B40:M40)</f>
        <v>-20000</v>
      </c>
      <c r="O40" s="397">
        <v>-20000</v>
      </c>
      <c r="P40" s="271"/>
      <c r="Q40" s="274"/>
      <c r="R40" s="398">
        <f>O40-N40</f>
        <v>0</v>
      </c>
    </row>
    <row r="41" spans="1:22" s="267" customFormat="1" ht="13">
      <c r="A41" s="420" t="s">
        <v>141</v>
      </c>
      <c r="B41" s="278">
        <v>0</v>
      </c>
      <c r="C41" s="278">
        <v>0</v>
      </c>
      <c r="D41" s="278">
        <v>0</v>
      </c>
      <c r="E41" s="278">
        <v>0</v>
      </c>
      <c r="F41" s="271">
        <v>0</v>
      </c>
      <c r="G41" s="271">
        <v>7500</v>
      </c>
      <c r="H41" s="271">
        <v>0</v>
      </c>
      <c r="I41" s="271">
        <v>0</v>
      </c>
      <c r="J41" s="271">
        <v>7500</v>
      </c>
      <c r="K41" s="271">
        <v>0</v>
      </c>
      <c r="L41" s="271">
        <v>0</v>
      </c>
      <c r="M41" s="379">
        <v>7500</v>
      </c>
      <c r="N41" s="396">
        <f t="shared" si="6"/>
        <v>22500</v>
      </c>
      <c r="O41" s="397">
        <v>11000</v>
      </c>
      <c r="P41" s="271"/>
      <c r="Q41" s="274">
        <f t="shared" si="7"/>
        <v>22500</v>
      </c>
      <c r="R41" s="398">
        <f t="shared" si="2"/>
        <v>-11500</v>
      </c>
    </row>
    <row r="42" spans="1:22" s="267" customFormat="1" ht="13">
      <c r="A42" s="420" t="s">
        <v>142</v>
      </c>
      <c r="B42" s="278">
        <v>500</v>
      </c>
      <c r="C42" s="278">
        <v>500</v>
      </c>
      <c r="D42" s="278">
        <v>500</v>
      </c>
      <c r="E42" s="278">
        <v>500</v>
      </c>
      <c r="F42" s="278">
        <v>500</v>
      </c>
      <c r="G42" s="278">
        <v>500</v>
      </c>
      <c r="H42" s="278">
        <v>800</v>
      </c>
      <c r="I42" s="278">
        <v>500</v>
      </c>
      <c r="J42" s="278">
        <v>500</v>
      </c>
      <c r="K42" s="278">
        <v>800</v>
      </c>
      <c r="L42" s="278">
        <v>500</v>
      </c>
      <c r="M42" s="379">
        <v>600</v>
      </c>
      <c r="N42" s="402">
        <f>SUM(B42:M42)</f>
        <v>6700</v>
      </c>
      <c r="O42" s="397">
        <v>8200</v>
      </c>
      <c r="P42" s="278"/>
      <c r="Q42" s="286"/>
      <c r="R42" s="403">
        <f>O42-N42</f>
        <v>1500</v>
      </c>
      <c r="S42" s="369"/>
      <c r="T42" s="369"/>
      <c r="U42" s="369"/>
      <c r="V42" s="369"/>
    </row>
    <row r="43" spans="1:22" s="267" customFormat="1" ht="13">
      <c r="A43" s="420" t="s">
        <v>41</v>
      </c>
      <c r="B43" s="278">
        <f>0</f>
        <v>0</v>
      </c>
      <c r="C43" s="271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379">
        <f>0</f>
        <v>0</v>
      </c>
      <c r="N43" s="396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398">
        <f t="shared" si="2"/>
        <v>0</v>
      </c>
    </row>
    <row r="44" spans="1:22" s="438" customFormat="1" ht="13">
      <c r="A44" s="437" t="s">
        <v>42</v>
      </c>
      <c r="B44" s="276">
        <f t="shared" ref="B44:M44" si="9">SUM(B26:B43)</f>
        <v>77800</v>
      </c>
      <c r="C44" s="276">
        <f t="shared" si="9"/>
        <v>80800</v>
      </c>
      <c r="D44" s="276">
        <f t="shared" si="9"/>
        <v>73800</v>
      </c>
      <c r="E44" s="276">
        <f t="shared" si="9"/>
        <v>87800</v>
      </c>
      <c r="F44" s="276">
        <f t="shared" si="9"/>
        <v>94800</v>
      </c>
      <c r="G44" s="276">
        <f t="shared" si="9"/>
        <v>111300</v>
      </c>
      <c r="H44" s="276">
        <f t="shared" si="9"/>
        <v>200100</v>
      </c>
      <c r="I44" s="276">
        <f t="shared" si="9"/>
        <v>122800</v>
      </c>
      <c r="J44" s="276">
        <f t="shared" si="9"/>
        <v>131300</v>
      </c>
      <c r="K44" s="276">
        <f t="shared" si="9"/>
        <v>240100</v>
      </c>
      <c r="L44" s="276">
        <f t="shared" si="9"/>
        <v>173800</v>
      </c>
      <c r="M44" s="380">
        <f t="shared" si="9"/>
        <v>205400</v>
      </c>
      <c r="N44" s="439">
        <f t="shared" si="6"/>
        <v>1599800</v>
      </c>
      <c r="O44" s="440">
        <f>SUM(O26:O43)</f>
        <v>2067600</v>
      </c>
      <c r="P44" s="276">
        <v>401062.26</v>
      </c>
      <c r="Q44" s="276">
        <f t="shared" si="7"/>
        <v>1198737.74</v>
      </c>
      <c r="R44" s="441">
        <f t="shared" si="2"/>
        <v>467800</v>
      </c>
    </row>
    <row r="45" spans="1:22" s="267" customFormat="1" ht="6" customHeight="1">
      <c r="A45" s="419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384"/>
      <c r="N45" s="396"/>
      <c r="O45" s="397"/>
      <c r="P45" s="133"/>
      <c r="Q45" s="133"/>
      <c r="R45" s="398"/>
    </row>
    <row r="46" spans="1:22" s="267" customFormat="1" ht="13">
      <c r="A46" s="420" t="s">
        <v>43</v>
      </c>
      <c r="B46" s="278">
        <v>-2000</v>
      </c>
      <c r="C46" s="278">
        <v>-2000</v>
      </c>
      <c r="D46" s="278">
        <v>-3000</v>
      </c>
      <c r="E46" s="278">
        <v>-3000</v>
      </c>
      <c r="F46" s="278">
        <v>-3000</v>
      </c>
      <c r="G46" s="271">
        <v>-4000</v>
      </c>
      <c r="H46" s="271">
        <v>-6000</v>
      </c>
      <c r="I46" s="271">
        <v>-4000</v>
      </c>
      <c r="J46" s="271">
        <v>-4000</v>
      </c>
      <c r="K46" s="271">
        <v>-7000</v>
      </c>
      <c r="L46" s="271">
        <v>-5000</v>
      </c>
      <c r="M46" s="379">
        <v>-7000</v>
      </c>
      <c r="N46" s="396">
        <f>SUM(B46:M46)</f>
        <v>-50000</v>
      </c>
      <c r="O46" s="399">
        <v>-62000</v>
      </c>
      <c r="P46" s="271">
        <v>0</v>
      </c>
      <c r="Q46" s="274">
        <f>N46-P46</f>
        <v>-50000</v>
      </c>
      <c r="R46" s="398">
        <f t="shared" si="2"/>
        <v>-12000</v>
      </c>
    </row>
    <row r="47" spans="1:22" s="267" customFormat="1" ht="14" thickBot="1">
      <c r="A47" s="420" t="s">
        <v>143</v>
      </c>
      <c r="B47" s="278">
        <f>0</f>
        <v>0</v>
      </c>
      <c r="C47" s="271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379">
        <f>0</f>
        <v>0</v>
      </c>
      <c r="N47" s="396">
        <f>SUM(B47:M47)</f>
        <v>0</v>
      </c>
      <c r="O47" s="397">
        <v>0</v>
      </c>
      <c r="P47" s="271">
        <v>0</v>
      </c>
      <c r="Q47" s="274">
        <f>N47-P47</f>
        <v>0</v>
      </c>
      <c r="R47" s="398">
        <f t="shared" si="2"/>
        <v>0</v>
      </c>
    </row>
    <row r="48" spans="1:22" s="452" customFormat="1" ht="14" thickTop="1">
      <c r="A48" s="445" t="s">
        <v>45</v>
      </c>
      <c r="B48" s="446">
        <f t="shared" ref="B48:M48" si="10">(((((B11)+(B17))+(B23))+(B44))+(B46))+(B47)</f>
        <v>93000</v>
      </c>
      <c r="C48" s="446">
        <f t="shared" si="10"/>
        <v>85700</v>
      </c>
      <c r="D48" s="446">
        <f t="shared" si="10"/>
        <v>78650</v>
      </c>
      <c r="E48" s="446">
        <f t="shared" si="10"/>
        <v>93600</v>
      </c>
      <c r="F48" s="446">
        <f t="shared" si="10"/>
        <v>139100</v>
      </c>
      <c r="G48" s="446">
        <f t="shared" si="10"/>
        <v>151250</v>
      </c>
      <c r="H48" s="446">
        <f t="shared" si="10"/>
        <v>228800</v>
      </c>
      <c r="I48" s="446">
        <f t="shared" si="10"/>
        <v>173000</v>
      </c>
      <c r="J48" s="446">
        <f t="shared" si="10"/>
        <v>170800</v>
      </c>
      <c r="K48" s="446">
        <f t="shared" si="10"/>
        <v>352300</v>
      </c>
      <c r="L48" s="446">
        <f t="shared" si="10"/>
        <v>195400</v>
      </c>
      <c r="M48" s="447">
        <f t="shared" si="10"/>
        <v>247500</v>
      </c>
      <c r="N48" s="448">
        <f>SUM(B48:M48)</f>
        <v>2009100</v>
      </c>
      <c r="O48" s="449">
        <f>SUM(O11,O17,O23,O44,O46,O47)</f>
        <v>2332900</v>
      </c>
      <c r="P48" s="446">
        <v>1179776.3799999999</v>
      </c>
      <c r="Q48" s="450">
        <f>N48-P48</f>
        <v>829323.62000000011</v>
      </c>
      <c r="R48" s="451">
        <f t="shared" si="2"/>
        <v>323800</v>
      </c>
    </row>
    <row r="49" spans="1:18" s="267" customFormat="1" ht="7" customHeight="1">
      <c r="A49" s="44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443"/>
      <c r="O49" s="444"/>
      <c r="P49" s="370"/>
      <c r="Q49" s="370"/>
      <c r="R49" s="403"/>
    </row>
    <row r="50" spans="1:18" s="267" customFormat="1" ht="13">
      <c r="A50" s="419" t="s">
        <v>46</v>
      </c>
      <c r="B50" s="413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387"/>
      <c r="N50" s="396"/>
      <c r="O50" s="397"/>
      <c r="P50" s="133"/>
      <c r="Q50" s="133"/>
      <c r="R50" s="398"/>
    </row>
    <row r="51" spans="1:18" s="267" customFormat="1" ht="13">
      <c r="A51" s="419" t="s">
        <v>144</v>
      </c>
      <c r="B51" s="278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379"/>
      <c r="N51" s="396"/>
      <c r="O51" s="397"/>
      <c r="P51" s="133"/>
      <c r="Q51" s="133"/>
      <c r="R51" s="398"/>
    </row>
    <row r="52" spans="1:18" s="267" customFormat="1" ht="13">
      <c r="A52" s="420" t="s">
        <v>48</v>
      </c>
      <c r="B52" s="278">
        <v>400</v>
      </c>
      <c r="C52" s="278">
        <v>400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379">
        <v>400</v>
      </c>
      <c r="N52" s="396">
        <f t="shared" ref="N52:N60" si="11">SUM(B52:M52)</f>
        <v>4800</v>
      </c>
      <c r="O52" s="397">
        <v>4800</v>
      </c>
      <c r="P52" s="271">
        <v>3875.12</v>
      </c>
      <c r="Q52" s="274">
        <f>N52-P52</f>
        <v>924.88000000000011</v>
      </c>
      <c r="R52" s="398">
        <f t="shared" si="2"/>
        <v>0</v>
      </c>
    </row>
    <row r="53" spans="1:18" s="267" customFormat="1" ht="13">
      <c r="A53" s="420" t="s">
        <v>145</v>
      </c>
      <c r="B53" s="278">
        <v>1000</v>
      </c>
      <c r="C53" s="278">
        <v>20000</v>
      </c>
      <c r="D53" s="278">
        <v>1000</v>
      </c>
      <c r="E53" s="278">
        <v>1000</v>
      </c>
      <c r="F53" s="278">
        <v>1000</v>
      </c>
      <c r="G53" s="278">
        <v>1000</v>
      </c>
      <c r="H53" s="278">
        <v>1000</v>
      </c>
      <c r="I53" s="278">
        <v>1000</v>
      </c>
      <c r="J53" s="278">
        <v>1000</v>
      </c>
      <c r="K53" s="278">
        <v>1000</v>
      </c>
      <c r="L53" s="278">
        <v>1000</v>
      </c>
      <c r="M53" s="379">
        <v>8000</v>
      </c>
      <c r="N53" s="396">
        <f t="shared" si="11"/>
        <v>38000</v>
      </c>
      <c r="O53" s="397">
        <v>38000</v>
      </c>
      <c r="P53" s="271">
        <v>20722.400000000001</v>
      </c>
      <c r="Q53" s="274">
        <f t="shared" ref="Q53:Q60" si="12">N53-P53</f>
        <v>17277.599999999999</v>
      </c>
      <c r="R53" s="398">
        <f t="shared" si="2"/>
        <v>0</v>
      </c>
    </row>
    <row r="54" spans="1:18" s="267" customFormat="1" ht="13">
      <c r="A54" s="420" t="s">
        <v>146</v>
      </c>
      <c r="B54" s="278">
        <v>5000</v>
      </c>
      <c r="C54" s="278">
        <v>5000</v>
      </c>
      <c r="D54" s="278">
        <v>5000</v>
      </c>
      <c r="E54" s="278">
        <v>5000</v>
      </c>
      <c r="F54" s="278">
        <v>5000</v>
      </c>
      <c r="G54" s="278">
        <v>5000</v>
      </c>
      <c r="H54" s="278">
        <v>5000</v>
      </c>
      <c r="I54" s="278">
        <v>5000</v>
      </c>
      <c r="J54" s="278">
        <v>5000</v>
      </c>
      <c r="K54" s="278">
        <v>5000</v>
      </c>
      <c r="L54" s="278">
        <v>5000</v>
      </c>
      <c r="M54" s="379">
        <v>5000</v>
      </c>
      <c r="N54" s="396">
        <f t="shared" si="11"/>
        <v>60000</v>
      </c>
      <c r="O54" s="397">
        <v>60000</v>
      </c>
      <c r="P54" s="271">
        <v>24074</v>
      </c>
      <c r="Q54" s="274">
        <f t="shared" si="12"/>
        <v>35926</v>
      </c>
      <c r="R54" s="398">
        <f t="shared" si="2"/>
        <v>0</v>
      </c>
    </row>
    <row r="55" spans="1:18" s="267" customFormat="1" ht="13">
      <c r="A55" s="420" t="s">
        <v>147</v>
      </c>
      <c r="B55" s="278">
        <v>300</v>
      </c>
      <c r="C55" s="278">
        <v>300</v>
      </c>
      <c r="D55" s="278">
        <v>300</v>
      </c>
      <c r="E55" s="278">
        <v>300</v>
      </c>
      <c r="F55" s="278">
        <v>300</v>
      </c>
      <c r="G55" s="278">
        <v>300</v>
      </c>
      <c r="H55" s="278">
        <v>300</v>
      </c>
      <c r="I55" s="278">
        <v>300</v>
      </c>
      <c r="J55" s="278">
        <v>300</v>
      </c>
      <c r="K55" s="278">
        <v>300</v>
      </c>
      <c r="L55" s="278">
        <v>300</v>
      </c>
      <c r="M55" s="379">
        <v>300</v>
      </c>
      <c r="N55" s="396">
        <f t="shared" si="11"/>
        <v>3600</v>
      </c>
      <c r="O55" s="397">
        <v>3600</v>
      </c>
      <c r="P55" s="271">
        <v>4249.01</v>
      </c>
      <c r="Q55" s="274">
        <f t="shared" si="12"/>
        <v>-649.01000000000022</v>
      </c>
      <c r="R55" s="398">
        <f t="shared" si="2"/>
        <v>0</v>
      </c>
    </row>
    <row r="56" spans="1:18" s="267" customFormat="1" ht="13">
      <c r="A56" s="420" t="s">
        <v>148</v>
      </c>
      <c r="B56" s="278">
        <v>0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379">
        <v>0</v>
      </c>
      <c r="N56" s="396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398">
        <f t="shared" si="2"/>
        <v>0</v>
      </c>
    </row>
    <row r="57" spans="1:18" s="267" customFormat="1" ht="13">
      <c r="A57" s="420" t="s">
        <v>149</v>
      </c>
      <c r="B57" s="278">
        <v>500</v>
      </c>
      <c r="C57" s="278">
        <v>500</v>
      </c>
      <c r="D57" s="278">
        <v>500</v>
      </c>
      <c r="E57" s="278">
        <v>500</v>
      </c>
      <c r="F57" s="278">
        <v>500</v>
      </c>
      <c r="G57" s="278">
        <v>500</v>
      </c>
      <c r="H57" s="278">
        <v>500</v>
      </c>
      <c r="I57" s="278">
        <v>500</v>
      </c>
      <c r="J57" s="278">
        <v>500</v>
      </c>
      <c r="K57" s="278">
        <v>500</v>
      </c>
      <c r="L57" s="278">
        <v>500</v>
      </c>
      <c r="M57" s="379">
        <v>500</v>
      </c>
      <c r="N57" s="396">
        <f>SUM(B57:M57)</f>
        <v>6000</v>
      </c>
      <c r="O57" s="397">
        <v>6000</v>
      </c>
      <c r="P57" s="271"/>
      <c r="Q57" s="274">
        <f t="shared" si="12"/>
        <v>6000</v>
      </c>
      <c r="R57" s="398">
        <f t="shared" si="2"/>
        <v>0</v>
      </c>
    </row>
    <row r="58" spans="1:18" s="267" customFormat="1" ht="13">
      <c r="A58" s="420" t="s">
        <v>150</v>
      </c>
      <c r="B58" s="278">
        <v>3000</v>
      </c>
      <c r="C58" s="271">
        <v>11500</v>
      </c>
      <c r="D58" s="271">
        <v>3000</v>
      </c>
      <c r="E58" s="271">
        <v>11500</v>
      </c>
      <c r="F58" s="271">
        <v>6000</v>
      </c>
      <c r="G58" s="271">
        <v>1000</v>
      </c>
      <c r="H58" s="271">
        <v>11500</v>
      </c>
      <c r="I58" s="271">
        <v>11500</v>
      </c>
      <c r="J58" s="271">
        <v>18000</v>
      </c>
      <c r="K58" s="271">
        <v>38000</v>
      </c>
      <c r="L58" s="271">
        <v>3000</v>
      </c>
      <c r="M58" s="379">
        <v>5000</v>
      </c>
      <c r="N58" s="396">
        <f t="shared" si="11"/>
        <v>123000</v>
      </c>
      <c r="O58" s="397">
        <v>72000</v>
      </c>
      <c r="P58" s="271">
        <v>35418.75</v>
      </c>
      <c r="Q58" s="274">
        <f t="shared" si="12"/>
        <v>87581.25</v>
      </c>
      <c r="R58" s="398">
        <f t="shared" si="2"/>
        <v>-51000</v>
      </c>
    </row>
    <row r="59" spans="1:18" s="267" customFormat="1" ht="13">
      <c r="A59" s="420" t="s">
        <v>151</v>
      </c>
      <c r="B59" s="278">
        <v>0</v>
      </c>
      <c r="C59" s="271">
        <v>0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379">
        <v>0</v>
      </c>
      <c r="N59" s="396">
        <f t="shared" si="11"/>
        <v>3000</v>
      </c>
      <c r="O59" s="397">
        <v>3000</v>
      </c>
      <c r="P59" s="271">
        <v>2665.37</v>
      </c>
      <c r="Q59" s="274">
        <f t="shared" si="12"/>
        <v>334.63000000000011</v>
      </c>
      <c r="R59" s="398">
        <f t="shared" si="2"/>
        <v>0</v>
      </c>
    </row>
    <row r="60" spans="1:18" s="267" customFormat="1" ht="13">
      <c r="A60" s="423" t="s">
        <v>152</v>
      </c>
      <c r="B60" s="276">
        <f t="shared" ref="B60:M60" si="13">SUM(B52:B59)</f>
        <v>10200</v>
      </c>
      <c r="C60" s="276">
        <f t="shared" si="13"/>
        <v>37700</v>
      </c>
      <c r="D60" s="276">
        <f t="shared" si="13"/>
        <v>10200</v>
      </c>
      <c r="E60" s="276">
        <f t="shared" si="13"/>
        <v>18700</v>
      </c>
      <c r="F60" s="276">
        <f t="shared" si="13"/>
        <v>13200</v>
      </c>
      <c r="G60" s="276">
        <f t="shared" si="13"/>
        <v>8200</v>
      </c>
      <c r="H60" s="276">
        <f t="shared" si="13"/>
        <v>18700</v>
      </c>
      <c r="I60" s="276">
        <f t="shared" si="13"/>
        <v>21700</v>
      </c>
      <c r="J60" s="276">
        <f t="shared" si="13"/>
        <v>25200</v>
      </c>
      <c r="K60" s="276">
        <f t="shared" si="13"/>
        <v>48200</v>
      </c>
      <c r="L60" s="276">
        <f t="shared" si="13"/>
        <v>10200</v>
      </c>
      <c r="M60" s="380">
        <f t="shared" si="13"/>
        <v>19200</v>
      </c>
      <c r="N60" s="400">
        <f t="shared" si="11"/>
        <v>241400</v>
      </c>
      <c r="O60" s="401">
        <f>SUM(O52:O59)</f>
        <v>190400</v>
      </c>
      <c r="P60" s="276">
        <v>91929.239999999991</v>
      </c>
      <c r="Q60" s="276">
        <f t="shared" si="12"/>
        <v>149470.76</v>
      </c>
      <c r="R60" s="404">
        <f t="shared" si="2"/>
        <v>-51000</v>
      </c>
    </row>
    <row r="61" spans="1:18" s="267" customFormat="1" ht="6" customHeight="1">
      <c r="A61" s="419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384"/>
      <c r="N61" s="396"/>
      <c r="O61" s="397"/>
      <c r="P61" s="133"/>
      <c r="Q61" s="133"/>
      <c r="R61" s="398"/>
    </row>
    <row r="62" spans="1:18" s="267" customFormat="1" ht="13">
      <c r="A62" s="419" t="s">
        <v>153</v>
      </c>
      <c r="B62" s="414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385"/>
      <c r="N62" s="396"/>
      <c r="O62" s="397"/>
      <c r="P62" s="133"/>
      <c r="Q62" s="133"/>
      <c r="R62" s="398"/>
    </row>
    <row r="63" spans="1:18" s="267" customFormat="1" ht="13">
      <c r="A63" s="420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379"/>
      <c r="N63" s="405"/>
      <c r="O63" s="406"/>
      <c r="P63" s="271">
        <v>49969.65</v>
      </c>
      <c r="Q63" s="274">
        <f>N63-P63</f>
        <v>-49969.65</v>
      </c>
      <c r="R63" s="398">
        <f t="shared" si="2"/>
        <v>0</v>
      </c>
    </row>
    <row r="64" spans="1:18" s="267" customFormat="1" ht="13">
      <c r="A64" s="420" t="s">
        <v>155</v>
      </c>
      <c r="B64" s="278">
        <v>0</v>
      </c>
      <c r="C64" s="278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4000</v>
      </c>
      <c r="I64" s="278">
        <v>4000</v>
      </c>
      <c r="J64" s="278">
        <v>4000</v>
      </c>
      <c r="K64" s="278">
        <v>4000</v>
      </c>
      <c r="L64" s="278">
        <v>4000</v>
      </c>
      <c r="M64" s="278">
        <v>4000</v>
      </c>
      <c r="N64" s="405">
        <f>SUM(B64:M64)</f>
        <v>24000</v>
      </c>
      <c r="O64" s="397">
        <v>240000</v>
      </c>
      <c r="P64" s="271"/>
      <c r="Q64" s="274"/>
      <c r="R64" s="398"/>
    </row>
    <row r="65" spans="1:22" s="267" customFormat="1" ht="13">
      <c r="A65" s="420" t="s">
        <v>156</v>
      </c>
      <c r="B65" s="278">
        <v>1100</v>
      </c>
      <c r="C65" s="278">
        <v>1100</v>
      </c>
      <c r="D65" s="278">
        <v>1100</v>
      </c>
      <c r="E65" s="278">
        <v>1100</v>
      </c>
      <c r="F65" s="278">
        <v>1100</v>
      </c>
      <c r="G65" s="278">
        <v>1100</v>
      </c>
      <c r="H65" s="278">
        <v>1100</v>
      </c>
      <c r="I65" s="278">
        <v>1100</v>
      </c>
      <c r="J65" s="278">
        <v>1100</v>
      </c>
      <c r="K65" s="278">
        <v>1100</v>
      </c>
      <c r="L65" s="278">
        <v>1100</v>
      </c>
      <c r="M65" s="379">
        <v>1100</v>
      </c>
      <c r="N65" s="396">
        <f t="shared" ref="N65:N80" si="14">SUM(B65:M65)</f>
        <v>13200</v>
      </c>
      <c r="O65" s="397">
        <v>13200</v>
      </c>
      <c r="P65" s="271"/>
      <c r="Q65" s="133"/>
      <c r="R65" s="398">
        <f t="shared" si="2"/>
        <v>0</v>
      </c>
    </row>
    <row r="66" spans="1:22" s="267" customFormat="1" ht="13">
      <c r="A66" s="420" t="s">
        <v>157</v>
      </c>
      <c r="B66" s="278">
        <v>3000</v>
      </c>
      <c r="C66" s="278">
        <v>3000</v>
      </c>
      <c r="D66" s="278">
        <v>3000</v>
      </c>
      <c r="E66" s="278">
        <v>3000</v>
      </c>
      <c r="F66" s="278">
        <v>3000</v>
      </c>
      <c r="G66" s="278">
        <v>3000</v>
      </c>
      <c r="H66" s="278">
        <v>3000</v>
      </c>
      <c r="I66" s="278">
        <v>3000</v>
      </c>
      <c r="J66" s="278">
        <v>3000</v>
      </c>
      <c r="K66" s="278">
        <v>3000</v>
      </c>
      <c r="L66" s="278">
        <v>3000</v>
      </c>
      <c r="M66" s="278">
        <v>3000</v>
      </c>
      <c r="N66" s="396">
        <f t="shared" si="14"/>
        <v>36000</v>
      </c>
      <c r="O66" s="397">
        <v>0</v>
      </c>
      <c r="P66" s="271"/>
      <c r="Q66" s="133"/>
      <c r="R66" s="398">
        <f t="shared" si="2"/>
        <v>-36000</v>
      </c>
    </row>
    <row r="67" spans="1:22" s="267" customFormat="1" ht="13">
      <c r="A67" s="420" t="s">
        <v>158</v>
      </c>
      <c r="B67" s="278">
        <v>0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8">
        <v>0</v>
      </c>
      <c r="I67" s="278">
        <v>0</v>
      </c>
      <c r="J67" s="278">
        <v>0</v>
      </c>
      <c r="K67" s="278">
        <v>0</v>
      </c>
      <c r="L67" s="278">
        <v>0</v>
      </c>
      <c r="M67" s="379">
        <v>0</v>
      </c>
      <c r="N67" s="396">
        <f t="shared" si="14"/>
        <v>0</v>
      </c>
      <c r="O67" s="397">
        <v>0</v>
      </c>
      <c r="P67" s="271"/>
      <c r="Q67" s="133"/>
      <c r="R67" s="398">
        <f t="shared" si="2"/>
        <v>0</v>
      </c>
    </row>
    <row r="68" spans="1:22" s="267" customFormat="1" ht="13">
      <c r="A68" s="420" t="s">
        <v>159</v>
      </c>
      <c r="B68" s="278">
        <v>1000</v>
      </c>
      <c r="C68" s="278">
        <v>1000</v>
      </c>
      <c r="D68" s="278">
        <v>1000</v>
      </c>
      <c r="E68" s="278">
        <v>1000</v>
      </c>
      <c r="F68" s="278">
        <v>1000</v>
      </c>
      <c r="G68" s="278">
        <v>1000</v>
      </c>
      <c r="H68" s="278">
        <v>1000</v>
      </c>
      <c r="I68" s="278">
        <v>1000</v>
      </c>
      <c r="J68" s="278">
        <v>1000</v>
      </c>
      <c r="K68" s="278">
        <v>1000</v>
      </c>
      <c r="L68" s="278">
        <v>1000</v>
      </c>
      <c r="M68" s="379">
        <v>1000</v>
      </c>
      <c r="N68" s="396">
        <f t="shared" si="14"/>
        <v>12000</v>
      </c>
      <c r="O68" s="397">
        <v>12000</v>
      </c>
      <c r="P68" s="271"/>
      <c r="Q68" s="133"/>
      <c r="R68" s="398">
        <f t="shared" si="2"/>
        <v>0</v>
      </c>
    </row>
    <row r="69" spans="1:22" s="267" customFormat="1" ht="13">
      <c r="A69" s="420" t="s">
        <v>160</v>
      </c>
      <c r="B69" s="278">
        <v>0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>
        <v>0</v>
      </c>
      <c r="J69" s="278">
        <v>0</v>
      </c>
      <c r="K69" s="278">
        <v>0</v>
      </c>
      <c r="L69" s="278">
        <v>0</v>
      </c>
      <c r="M69" s="379">
        <v>0</v>
      </c>
      <c r="N69" s="396">
        <f t="shared" si="14"/>
        <v>0</v>
      </c>
      <c r="O69" s="397">
        <v>0</v>
      </c>
      <c r="P69" s="271"/>
      <c r="Q69" s="133"/>
      <c r="R69" s="398">
        <f t="shared" si="2"/>
        <v>0</v>
      </c>
    </row>
    <row r="70" spans="1:22" s="267" customFormat="1" ht="13">
      <c r="A70" s="420" t="s">
        <v>161</v>
      </c>
      <c r="B70" s="278">
        <v>5300</v>
      </c>
      <c r="C70" s="369">
        <v>0</v>
      </c>
      <c r="D70" s="369">
        <v>0</v>
      </c>
      <c r="E70" s="369">
        <v>0</v>
      </c>
      <c r="F70" s="369">
        <v>0</v>
      </c>
      <c r="G70" s="369">
        <v>0</v>
      </c>
      <c r="H70" s="369">
        <v>0</v>
      </c>
      <c r="I70" s="369">
        <v>0</v>
      </c>
      <c r="J70" s="369">
        <v>0</v>
      </c>
      <c r="K70" s="278">
        <v>11000</v>
      </c>
      <c r="L70" s="278">
        <v>0</v>
      </c>
      <c r="M70" s="379">
        <v>0</v>
      </c>
      <c r="N70" s="396">
        <f>SUM(B70:M70)</f>
        <v>16300</v>
      </c>
      <c r="O70" s="397">
        <v>16300</v>
      </c>
      <c r="P70" s="271"/>
      <c r="Q70" s="133"/>
      <c r="R70" s="398">
        <f t="shared" si="2"/>
        <v>0</v>
      </c>
    </row>
    <row r="71" spans="1:22" s="267" customFormat="1" ht="13">
      <c r="A71" s="420" t="s">
        <v>162</v>
      </c>
      <c r="B71" s="278">
        <v>0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>
        <v>0</v>
      </c>
      <c r="J71" s="278">
        <v>0</v>
      </c>
      <c r="K71" s="278">
        <v>0</v>
      </c>
      <c r="L71" s="278">
        <v>0</v>
      </c>
      <c r="M71" s="278">
        <v>0</v>
      </c>
      <c r="N71" s="396">
        <f t="shared" si="14"/>
        <v>0</v>
      </c>
      <c r="O71" s="397">
        <v>25200</v>
      </c>
      <c r="P71" s="271"/>
      <c r="Q71" s="274"/>
      <c r="R71" s="398">
        <f t="shared" si="2"/>
        <v>25200</v>
      </c>
    </row>
    <row r="72" spans="1:22" s="267" customFormat="1" ht="13">
      <c r="A72" s="420" t="s">
        <v>163</v>
      </c>
      <c r="B72" s="278">
        <v>0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379">
        <v>0</v>
      </c>
      <c r="N72" s="405">
        <v>0</v>
      </c>
      <c r="O72" s="397"/>
      <c r="P72" s="271"/>
      <c r="Q72" s="274"/>
      <c r="R72" s="398"/>
    </row>
    <row r="73" spans="1:22" s="267" customFormat="1" ht="13">
      <c r="A73" s="420" t="s">
        <v>164</v>
      </c>
      <c r="B73" s="278">
        <v>1000</v>
      </c>
      <c r="C73" s="278">
        <v>1000</v>
      </c>
      <c r="D73" s="278">
        <v>1000</v>
      </c>
      <c r="E73" s="278">
        <v>1000</v>
      </c>
      <c r="F73" s="278">
        <v>1000</v>
      </c>
      <c r="G73" s="278">
        <v>1000</v>
      </c>
      <c r="H73" s="278">
        <v>1000</v>
      </c>
      <c r="I73" s="278">
        <v>1000</v>
      </c>
      <c r="J73" s="278">
        <v>1000</v>
      </c>
      <c r="K73" s="278">
        <v>1000</v>
      </c>
      <c r="L73" s="278">
        <v>1000</v>
      </c>
      <c r="M73" s="278">
        <v>1000</v>
      </c>
      <c r="N73" s="396">
        <f t="shared" si="14"/>
        <v>12000</v>
      </c>
      <c r="O73" s="397">
        <v>3000</v>
      </c>
      <c r="P73" s="271"/>
      <c r="Q73" s="275"/>
      <c r="R73" s="398">
        <f t="shared" si="2"/>
        <v>-9000</v>
      </c>
    </row>
    <row r="74" spans="1:22" s="267" customFormat="1" ht="13">
      <c r="A74" s="420" t="s">
        <v>165</v>
      </c>
      <c r="B74" s="278">
        <v>10000</v>
      </c>
      <c r="C74" s="278">
        <v>1000</v>
      </c>
      <c r="D74" s="278">
        <v>1000</v>
      </c>
      <c r="E74" s="278">
        <v>1000</v>
      </c>
      <c r="F74" s="278">
        <v>1000</v>
      </c>
      <c r="G74" s="278">
        <v>1000</v>
      </c>
      <c r="H74" s="278">
        <v>1000</v>
      </c>
      <c r="I74" s="278">
        <v>1000</v>
      </c>
      <c r="J74" s="278">
        <v>1000</v>
      </c>
      <c r="K74" s="278">
        <v>1000</v>
      </c>
      <c r="L74" s="278">
        <v>1000</v>
      </c>
      <c r="M74" s="379">
        <v>1000</v>
      </c>
      <c r="N74" s="396">
        <f t="shared" si="14"/>
        <v>21000</v>
      </c>
      <c r="O74" s="397">
        <v>21000</v>
      </c>
      <c r="P74" s="271">
        <v>40075.839999999997</v>
      </c>
      <c r="Q74" s="274">
        <f>N74-P74</f>
        <v>-19075.839999999997</v>
      </c>
      <c r="R74" s="398">
        <f t="shared" si="2"/>
        <v>0</v>
      </c>
    </row>
    <row r="75" spans="1:22" s="267" customFormat="1" ht="12" customHeight="1">
      <c r="A75" s="420" t="s">
        <v>166</v>
      </c>
      <c r="B75" s="278">
        <v>250</v>
      </c>
      <c r="C75" s="278">
        <v>250</v>
      </c>
      <c r="D75" s="278">
        <v>250</v>
      </c>
      <c r="E75" s="278">
        <v>250</v>
      </c>
      <c r="F75" s="278">
        <v>250</v>
      </c>
      <c r="G75" s="278">
        <v>250</v>
      </c>
      <c r="H75" s="278">
        <v>250</v>
      </c>
      <c r="I75" s="278">
        <v>250</v>
      </c>
      <c r="J75" s="278">
        <v>250</v>
      </c>
      <c r="K75" s="278">
        <v>250</v>
      </c>
      <c r="L75" s="278">
        <v>250</v>
      </c>
      <c r="M75" s="379">
        <v>250</v>
      </c>
      <c r="N75" s="396">
        <f t="shared" si="14"/>
        <v>3000</v>
      </c>
      <c r="O75" s="397">
        <v>3000</v>
      </c>
      <c r="P75" s="271">
        <v>6621.17</v>
      </c>
      <c r="Q75" s="274">
        <f t="shared" ref="Q75:Q81" si="15">N75-P75</f>
        <v>-3621.17</v>
      </c>
      <c r="R75" s="398">
        <f t="shared" si="2"/>
        <v>0</v>
      </c>
    </row>
    <row r="76" spans="1:22" s="267" customFormat="1" ht="13">
      <c r="A76" s="420" t="s">
        <v>167</v>
      </c>
      <c r="B76" s="278">
        <v>0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>
        <v>0</v>
      </c>
      <c r="J76" s="278">
        <v>0</v>
      </c>
      <c r="K76" s="278">
        <v>0</v>
      </c>
      <c r="L76" s="278">
        <v>0</v>
      </c>
      <c r="M76" s="379">
        <v>0</v>
      </c>
      <c r="N76" s="396">
        <f t="shared" si="14"/>
        <v>0</v>
      </c>
      <c r="O76" s="397">
        <v>0</v>
      </c>
      <c r="P76" s="271">
        <v>1443.76</v>
      </c>
      <c r="Q76" s="274">
        <f t="shared" si="15"/>
        <v>-1443.76</v>
      </c>
      <c r="R76" s="398">
        <f t="shared" si="2"/>
        <v>0</v>
      </c>
    </row>
    <row r="77" spans="1:22" s="267" customFormat="1" ht="13">
      <c r="A77" s="420" t="s">
        <v>168</v>
      </c>
      <c r="B77" s="278">
        <v>0</v>
      </c>
      <c r="C77" s="278">
        <v>0</v>
      </c>
      <c r="D77" s="278">
        <v>0</v>
      </c>
      <c r="E77" s="278">
        <v>0</v>
      </c>
      <c r="F77" s="278">
        <v>5000</v>
      </c>
      <c r="G77" s="278">
        <v>0</v>
      </c>
      <c r="H77" s="278">
        <v>0</v>
      </c>
      <c r="I77" s="278">
        <v>0</v>
      </c>
      <c r="J77" s="278">
        <v>0</v>
      </c>
      <c r="K77" s="278">
        <v>0</v>
      </c>
      <c r="L77" s="278">
        <v>5000</v>
      </c>
      <c r="M77" s="379">
        <v>0</v>
      </c>
      <c r="N77" s="396">
        <f t="shared" si="14"/>
        <v>10000</v>
      </c>
      <c r="O77" s="397">
        <v>10000</v>
      </c>
      <c r="P77" s="271">
        <v>2425.1099999999997</v>
      </c>
      <c r="Q77" s="274">
        <f t="shared" si="15"/>
        <v>7574.89</v>
      </c>
      <c r="R77" s="398">
        <f t="shared" si="2"/>
        <v>0</v>
      </c>
    </row>
    <row r="78" spans="1:22" s="267" customFormat="1" ht="13">
      <c r="A78" s="420" t="s">
        <v>54</v>
      </c>
      <c r="B78" s="278">
        <v>4000</v>
      </c>
      <c r="C78" s="278">
        <v>4000</v>
      </c>
      <c r="D78" s="278">
        <v>4000</v>
      </c>
      <c r="E78" s="278">
        <v>4000</v>
      </c>
      <c r="F78" s="278">
        <v>4000</v>
      </c>
      <c r="G78" s="278">
        <v>4000</v>
      </c>
      <c r="H78" s="278">
        <v>4000</v>
      </c>
      <c r="I78" s="278">
        <v>4000</v>
      </c>
      <c r="J78" s="278">
        <v>4000</v>
      </c>
      <c r="K78" s="278">
        <v>4000</v>
      </c>
      <c r="L78" s="278">
        <v>4000</v>
      </c>
      <c r="M78" s="379">
        <v>4000</v>
      </c>
      <c r="N78" s="396">
        <f t="shared" si="14"/>
        <v>48000</v>
      </c>
      <c r="O78" s="397">
        <v>48000</v>
      </c>
      <c r="P78" s="271">
        <v>23942.32</v>
      </c>
      <c r="Q78" s="274">
        <f t="shared" si="15"/>
        <v>24057.68</v>
      </c>
      <c r="R78" s="398">
        <f t="shared" si="2"/>
        <v>0</v>
      </c>
    </row>
    <row r="79" spans="1:22" s="267" customFormat="1" ht="13">
      <c r="A79" s="420" t="s">
        <v>56</v>
      </c>
      <c r="B79" s="278">
        <v>2900</v>
      </c>
      <c r="C79" s="278">
        <v>4000</v>
      </c>
      <c r="D79" s="278">
        <v>1100</v>
      </c>
      <c r="E79" s="278">
        <v>400</v>
      </c>
      <c r="F79" s="278">
        <v>400</v>
      </c>
      <c r="G79" s="278">
        <v>400</v>
      </c>
      <c r="H79" s="278">
        <v>400</v>
      </c>
      <c r="I79" s="278">
        <v>400</v>
      </c>
      <c r="J79" s="278">
        <v>3000</v>
      </c>
      <c r="K79" s="278">
        <v>400</v>
      </c>
      <c r="L79" s="278">
        <v>400</v>
      </c>
      <c r="M79" s="278">
        <v>400</v>
      </c>
      <c r="N79" s="396">
        <f t="shared" si="14"/>
        <v>14200</v>
      </c>
      <c r="O79" s="397">
        <v>12200</v>
      </c>
      <c r="P79" s="271">
        <v>13154.77</v>
      </c>
      <c r="Q79" s="274">
        <f t="shared" si="15"/>
        <v>1045.2299999999996</v>
      </c>
      <c r="R79" s="398">
        <f t="shared" si="2"/>
        <v>-2000</v>
      </c>
    </row>
    <row r="80" spans="1:22" s="267" customFormat="1" ht="13">
      <c r="A80" s="420" t="s">
        <v>63</v>
      </c>
      <c r="B80" s="278">
        <f>0</f>
        <v>0</v>
      </c>
      <c r="C80" s="278">
        <f>0</f>
        <v>0</v>
      </c>
      <c r="D80" s="278">
        <f>0</f>
        <v>0</v>
      </c>
      <c r="E80" s="278">
        <v>0</v>
      </c>
      <c r="F80" s="278">
        <v>0</v>
      </c>
      <c r="G80" s="278">
        <f>0</f>
        <v>0</v>
      </c>
      <c r="H80" s="278">
        <f>0</f>
        <v>0</v>
      </c>
      <c r="I80" s="278">
        <f>0</f>
        <v>0</v>
      </c>
      <c r="J80" s="278">
        <v>0</v>
      </c>
      <c r="K80" s="278">
        <v>0</v>
      </c>
      <c r="L80" s="278">
        <f>0</f>
        <v>0</v>
      </c>
      <c r="M80" s="379">
        <f>0</f>
        <v>0</v>
      </c>
      <c r="N80" s="396">
        <f t="shared" si="14"/>
        <v>0</v>
      </c>
      <c r="O80" s="399">
        <v>0</v>
      </c>
      <c r="P80" s="271">
        <v>0</v>
      </c>
      <c r="Q80" s="274">
        <f t="shared" si="15"/>
        <v>0</v>
      </c>
      <c r="R80" s="398">
        <f>O80-N80</f>
        <v>0</v>
      </c>
      <c r="S80" s="369"/>
      <c r="T80" s="369"/>
      <c r="U80" s="369"/>
      <c r="V80" s="369"/>
    </row>
    <row r="81" spans="1:22" s="267" customFormat="1" ht="13">
      <c r="A81" s="423" t="s">
        <v>169</v>
      </c>
      <c r="B81" s="276">
        <f>SUM(B63:B80)</f>
        <v>28550</v>
      </c>
      <c r="C81" s="276">
        <f t="shared" ref="C81:M81" si="16">SUM(C63:C80)</f>
        <v>15350</v>
      </c>
      <c r="D81" s="276">
        <f t="shared" si="16"/>
        <v>12450</v>
      </c>
      <c r="E81" s="276">
        <f t="shared" si="16"/>
        <v>11750</v>
      </c>
      <c r="F81" s="276">
        <f t="shared" si="16"/>
        <v>16750</v>
      </c>
      <c r="G81" s="276">
        <f t="shared" si="16"/>
        <v>11750</v>
      </c>
      <c r="H81" s="276">
        <f t="shared" si="16"/>
        <v>15750</v>
      </c>
      <c r="I81" s="276">
        <f t="shared" si="16"/>
        <v>15750</v>
      </c>
      <c r="J81" s="276">
        <f t="shared" si="16"/>
        <v>18350</v>
      </c>
      <c r="K81" s="276">
        <f t="shared" si="16"/>
        <v>26750</v>
      </c>
      <c r="L81" s="276">
        <f t="shared" si="16"/>
        <v>20750</v>
      </c>
      <c r="M81" s="380">
        <f t="shared" si="16"/>
        <v>15750</v>
      </c>
      <c r="N81" s="407">
        <f>SUM(B81:M81)</f>
        <v>209700</v>
      </c>
      <c r="O81" s="401">
        <f>SUM(O64:O80)</f>
        <v>403900</v>
      </c>
      <c r="P81" s="276">
        <v>137632.61999999997</v>
      </c>
      <c r="Q81" s="276">
        <f t="shared" si="15"/>
        <v>72067.380000000034</v>
      </c>
      <c r="R81" s="404">
        <f>O81-N81</f>
        <v>194200</v>
      </c>
      <c r="S81" s="369"/>
      <c r="T81" s="369"/>
      <c r="U81" s="369"/>
      <c r="V81" s="369"/>
    </row>
    <row r="82" spans="1:22" s="267" customFormat="1" ht="10" customHeight="1">
      <c r="A82" s="419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384"/>
      <c r="N82" s="396"/>
      <c r="O82" s="397"/>
      <c r="P82" s="370"/>
      <c r="Q82" s="370"/>
      <c r="R82" s="398"/>
      <c r="S82" s="369"/>
      <c r="T82" s="369"/>
      <c r="U82" s="369"/>
      <c r="V82" s="369"/>
    </row>
    <row r="83" spans="1:22" s="267" customFormat="1" ht="13">
      <c r="A83" s="419" t="s">
        <v>170</v>
      </c>
      <c r="B83" s="278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379"/>
      <c r="N83" s="396"/>
      <c r="O83" s="397"/>
      <c r="P83" s="370"/>
      <c r="Q83" s="370"/>
      <c r="R83" s="398"/>
      <c r="S83" s="268"/>
      <c r="T83" s="268"/>
      <c r="U83" s="268"/>
      <c r="V83" s="369"/>
    </row>
    <row r="84" spans="1:22" s="267" customFormat="1" ht="13">
      <c r="A84" s="420" t="s">
        <v>67</v>
      </c>
      <c r="B84" s="278">
        <v>0</v>
      </c>
      <c r="C84" s="278">
        <v>0</v>
      </c>
      <c r="D84" s="278">
        <v>0</v>
      </c>
      <c r="E84" s="278">
        <v>0</v>
      </c>
      <c r="F84" s="278">
        <v>7500</v>
      </c>
      <c r="G84" s="278">
        <v>0</v>
      </c>
      <c r="H84" s="278">
        <v>7000</v>
      </c>
      <c r="I84" s="278">
        <v>0</v>
      </c>
      <c r="J84" s="278">
        <v>7000</v>
      </c>
      <c r="K84" s="278">
        <v>0</v>
      </c>
      <c r="L84" s="278">
        <v>0</v>
      </c>
      <c r="M84" s="278">
        <v>0</v>
      </c>
      <c r="N84" s="396">
        <f t="shared" ref="N84:N91" si="17">SUM(B84:M84)</f>
        <v>21500</v>
      </c>
      <c r="O84" s="397">
        <v>0</v>
      </c>
      <c r="P84" s="271">
        <v>5000</v>
      </c>
      <c r="Q84" s="286">
        <f>N84-P84</f>
        <v>16500</v>
      </c>
      <c r="R84" s="398">
        <f t="shared" ref="R84:R96" si="18">O84-N84</f>
        <v>-21500</v>
      </c>
      <c r="S84" s="268"/>
      <c r="T84" s="268"/>
      <c r="U84" s="268"/>
      <c r="V84" s="369"/>
    </row>
    <row r="85" spans="1:22" s="267" customFormat="1" ht="13">
      <c r="A85" s="420" t="s">
        <v>68</v>
      </c>
      <c r="B85" s="278">
        <v>0</v>
      </c>
      <c r="C85" s="278">
        <v>0</v>
      </c>
      <c r="D85" s="278">
        <v>0</v>
      </c>
      <c r="E85" s="278">
        <v>0</v>
      </c>
      <c r="F85" s="278">
        <v>1500</v>
      </c>
      <c r="G85" s="278">
        <v>0</v>
      </c>
      <c r="H85" s="278">
        <v>1500</v>
      </c>
      <c r="I85" s="278">
        <v>0</v>
      </c>
      <c r="J85" s="278">
        <v>1500</v>
      </c>
      <c r="K85" s="278">
        <v>0</v>
      </c>
      <c r="L85" s="278">
        <v>0</v>
      </c>
      <c r="M85" s="278">
        <v>0</v>
      </c>
      <c r="N85" s="396">
        <f t="shared" si="17"/>
        <v>4500</v>
      </c>
      <c r="O85" s="397">
        <v>0</v>
      </c>
      <c r="P85" s="271">
        <v>0</v>
      </c>
      <c r="Q85" s="286">
        <f t="shared" ref="Q85:Q90" si="19">N85-P85</f>
        <v>4500</v>
      </c>
      <c r="R85" s="398">
        <f t="shared" si="18"/>
        <v>-4500</v>
      </c>
      <c r="S85" s="268"/>
      <c r="T85" s="268"/>
      <c r="U85" s="268"/>
      <c r="V85" s="369"/>
    </row>
    <row r="86" spans="1:22" s="267" customFormat="1" ht="13">
      <c r="A86" s="420" t="s">
        <v>69</v>
      </c>
      <c r="B86" s="278">
        <v>0</v>
      </c>
      <c r="C86" s="278">
        <v>0</v>
      </c>
      <c r="D86" s="278">
        <v>0</v>
      </c>
      <c r="E86" s="278">
        <v>0</v>
      </c>
      <c r="F86" s="278">
        <v>6000</v>
      </c>
      <c r="G86" s="278">
        <v>0</v>
      </c>
      <c r="H86" s="278">
        <v>6000</v>
      </c>
      <c r="I86" s="278">
        <v>0</v>
      </c>
      <c r="J86" s="278">
        <v>6000</v>
      </c>
      <c r="K86" s="278">
        <v>0</v>
      </c>
      <c r="L86" s="278">
        <v>0</v>
      </c>
      <c r="M86" s="278">
        <v>0</v>
      </c>
      <c r="N86" s="396">
        <f t="shared" si="17"/>
        <v>18000</v>
      </c>
      <c r="O86" s="397">
        <v>0</v>
      </c>
      <c r="P86" s="271">
        <v>7500</v>
      </c>
      <c r="Q86" s="286">
        <f t="shared" si="19"/>
        <v>10500</v>
      </c>
      <c r="R86" s="398">
        <f t="shared" si="18"/>
        <v>-18000</v>
      </c>
      <c r="S86" s="268"/>
      <c r="T86" s="268"/>
      <c r="U86" s="268"/>
      <c r="V86" s="369"/>
    </row>
    <row r="87" spans="1:22" s="267" customFormat="1" ht="13">
      <c r="A87" s="420" t="s">
        <v>70</v>
      </c>
      <c r="B87" s="278">
        <v>0</v>
      </c>
      <c r="C87" s="278">
        <v>0</v>
      </c>
      <c r="D87" s="278">
        <v>0</v>
      </c>
      <c r="E87" s="278">
        <v>0</v>
      </c>
      <c r="F87" s="278">
        <v>0</v>
      </c>
      <c r="G87" s="278">
        <v>0</v>
      </c>
      <c r="H87" s="278">
        <v>0</v>
      </c>
      <c r="I87" s="278">
        <v>0</v>
      </c>
      <c r="J87" s="278">
        <v>0</v>
      </c>
      <c r="K87" s="278">
        <v>0</v>
      </c>
      <c r="L87" s="278">
        <v>0</v>
      </c>
      <c r="M87" s="278">
        <v>0</v>
      </c>
      <c r="N87" s="396">
        <f t="shared" si="17"/>
        <v>0</v>
      </c>
      <c r="O87" s="397">
        <v>0</v>
      </c>
      <c r="P87" s="271">
        <v>0</v>
      </c>
      <c r="Q87" s="286">
        <f t="shared" si="19"/>
        <v>0</v>
      </c>
      <c r="R87" s="398">
        <f t="shared" si="18"/>
        <v>0</v>
      </c>
      <c r="S87" s="268"/>
      <c r="T87" s="268"/>
      <c r="U87" s="268"/>
      <c r="V87" s="369"/>
    </row>
    <row r="88" spans="1:22" s="267" customFormat="1" ht="13">
      <c r="A88" s="420" t="s">
        <v>71</v>
      </c>
      <c r="B88" s="278">
        <v>0</v>
      </c>
      <c r="C88" s="278">
        <v>0</v>
      </c>
      <c r="D88" s="278">
        <v>0</v>
      </c>
      <c r="E88" s="278">
        <v>0</v>
      </c>
      <c r="F88" s="278"/>
      <c r="G88" s="278">
        <v>4300</v>
      </c>
      <c r="H88" s="278">
        <v>0</v>
      </c>
      <c r="I88" s="278">
        <v>4300</v>
      </c>
      <c r="J88" s="278">
        <v>0</v>
      </c>
      <c r="K88" s="278">
        <v>4300</v>
      </c>
      <c r="L88" s="278">
        <v>0</v>
      </c>
      <c r="M88" s="278">
        <v>0</v>
      </c>
      <c r="N88" s="396">
        <f t="shared" si="17"/>
        <v>12900</v>
      </c>
      <c r="O88" s="397">
        <v>0</v>
      </c>
      <c r="P88" s="271">
        <v>0</v>
      </c>
      <c r="Q88" s="286">
        <f t="shared" si="19"/>
        <v>12900</v>
      </c>
      <c r="R88" s="398">
        <f t="shared" si="18"/>
        <v>-12900</v>
      </c>
      <c r="S88" s="268"/>
      <c r="T88" s="268"/>
      <c r="U88" s="268"/>
      <c r="V88" s="369"/>
    </row>
    <row r="89" spans="1:22" s="267" customFormat="1" ht="13">
      <c r="A89" s="420" t="s">
        <v>72</v>
      </c>
      <c r="B89" s="278">
        <v>0</v>
      </c>
      <c r="C89" s="278">
        <v>0</v>
      </c>
      <c r="D89" s="278">
        <v>0</v>
      </c>
      <c r="E89" s="278">
        <v>0</v>
      </c>
      <c r="F89" s="278">
        <v>8400</v>
      </c>
      <c r="G89" s="278">
        <v>0</v>
      </c>
      <c r="H89" s="278">
        <v>8400</v>
      </c>
      <c r="I89" s="278">
        <v>0</v>
      </c>
      <c r="J89" s="278">
        <v>8400</v>
      </c>
      <c r="K89" s="278">
        <v>0</v>
      </c>
      <c r="L89" s="278">
        <v>0</v>
      </c>
      <c r="M89" s="278">
        <v>0</v>
      </c>
      <c r="N89" s="396">
        <f t="shared" si="17"/>
        <v>25200</v>
      </c>
      <c r="O89" s="397">
        <v>0</v>
      </c>
      <c r="P89" s="271">
        <v>0</v>
      </c>
      <c r="Q89" s="286">
        <f t="shared" si="19"/>
        <v>25200</v>
      </c>
      <c r="R89" s="398">
        <f t="shared" si="18"/>
        <v>-25200</v>
      </c>
      <c r="S89" s="268"/>
      <c r="T89" s="268"/>
      <c r="U89" s="268"/>
      <c r="V89" s="369"/>
    </row>
    <row r="90" spans="1:22" s="267" customFormat="1" ht="13">
      <c r="A90" s="420" t="s">
        <v>73</v>
      </c>
      <c r="B90" s="278">
        <v>0</v>
      </c>
      <c r="C90" s="278">
        <v>0</v>
      </c>
      <c r="D90" s="278">
        <v>0</v>
      </c>
      <c r="E90" s="278">
        <v>0</v>
      </c>
      <c r="F90" s="278">
        <v>9000</v>
      </c>
      <c r="G90" s="278">
        <v>0</v>
      </c>
      <c r="H90" s="278">
        <v>9000</v>
      </c>
      <c r="I90" s="278">
        <v>0</v>
      </c>
      <c r="J90" s="278">
        <v>9000</v>
      </c>
      <c r="K90" s="278">
        <v>0</v>
      </c>
      <c r="L90" s="278">
        <v>0</v>
      </c>
      <c r="M90" s="278">
        <v>0</v>
      </c>
      <c r="N90" s="396">
        <f t="shared" si="17"/>
        <v>27000</v>
      </c>
      <c r="O90" s="397">
        <v>0</v>
      </c>
      <c r="P90" s="271">
        <v>15442</v>
      </c>
      <c r="Q90" s="286">
        <f t="shared" si="19"/>
        <v>11558</v>
      </c>
      <c r="R90" s="398">
        <f t="shared" si="18"/>
        <v>-27000</v>
      </c>
      <c r="S90" s="369"/>
      <c r="T90" s="369"/>
      <c r="U90" s="369"/>
      <c r="V90" s="369"/>
    </row>
    <row r="91" spans="1:22" s="267" customFormat="1" ht="13">
      <c r="A91" s="419" t="s">
        <v>171</v>
      </c>
      <c r="B91" s="276">
        <f>SUM(B84:B90)</f>
        <v>0</v>
      </c>
      <c r="C91" s="276">
        <f t="shared" ref="C91:M91" si="20">SUM(C84:C90)</f>
        <v>0</v>
      </c>
      <c r="D91" s="276">
        <f t="shared" si="20"/>
        <v>0</v>
      </c>
      <c r="E91" s="276">
        <f t="shared" si="20"/>
        <v>0</v>
      </c>
      <c r="F91" s="276">
        <f t="shared" si="20"/>
        <v>32400</v>
      </c>
      <c r="G91" s="276">
        <f t="shared" si="20"/>
        <v>4300</v>
      </c>
      <c r="H91" s="276">
        <f t="shared" si="20"/>
        <v>31900</v>
      </c>
      <c r="I91" s="276">
        <f t="shared" si="20"/>
        <v>4300</v>
      </c>
      <c r="J91" s="276">
        <f t="shared" si="20"/>
        <v>31900</v>
      </c>
      <c r="K91" s="276">
        <f t="shared" si="20"/>
        <v>4300</v>
      </c>
      <c r="L91" s="276">
        <f t="shared" si="20"/>
        <v>0</v>
      </c>
      <c r="M91" s="380">
        <f t="shared" si="20"/>
        <v>0</v>
      </c>
      <c r="N91" s="400">
        <f t="shared" si="17"/>
        <v>109100</v>
      </c>
      <c r="O91" s="408">
        <f>0+SUM(O84:O90)</f>
        <v>0</v>
      </c>
      <c r="P91" s="276">
        <v>27942</v>
      </c>
      <c r="Q91" s="276">
        <f>N91-P91</f>
        <v>81158</v>
      </c>
      <c r="R91" s="404">
        <f t="shared" si="18"/>
        <v>-109100</v>
      </c>
      <c r="S91" s="369"/>
      <c r="T91" s="369"/>
      <c r="U91" s="369"/>
      <c r="V91" s="369"/>
    </row>
    <row r="92" spans="1:22" s="267" customFormat="1" ht="6" hidden="1" customHeight="1">
      <c r="A92" s="419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384"/>
      <c r="N92" s="396"/>
      <c r="O92" s="397"/>
      <c r="P92" s="370"/>
      <c r="Q92" s="370"/>
      <c r="R92" s="398">
        <f t="shared" si="18"/>
        <v>0</v>
      </c>
      <c r="S92" s="369"/>
      <c r="T92" s="369"/>
      <c r="U92" s="369"/>
      <c r="V92" s="369"/>
    </row>
    <row r="93" spans="1:22" s="267" customFormat="1" ht="13" hidden="1">
      <c r="A93" s="424" t="s">
        <v>172</v>
      </c>
      <c r="B93" s="278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379"/>
      <c r="N93" s="396"/>
      <c r="O93" s="397"/>
      <c r="P93" s="370"/>
      <c r="Q93" s="370"/>
      <c r="R93" s="398">
        <f t="shared" si="18"/>
        <v>0</v>
      </c>
      <c r="S93" s="369"/>
      <c r="T93" s="369"/>
      <c r="U93" s="369"/>
      <c r="V93" s="369"/>
    </row>
    <row r="94" spans="1:22" s="267" customFormat="1" ht="13" hidden="1">
      <c r="A94" s="425" t="s">
        <v>173</v>
      </c>
      <c r="B94" s="278" t="e">
        <f>#REF!-#REF!</f>
        <v>#REF!</v>
      </c>
      <c r="C94" s="271" t="e">
        <f>#REF!-#REF!</f>
        <v>#REF!</v>
      </c>
      <c r="D94" s="271" t="e">
        <f>B94-#REF!</f>
        <v>#REF!</v>
      </c>
      <c r="E94" s="271" t="e">
        <f t="shared" ref="E94:M94" si="21">C94-B94</f>
        <v>#REF!</v>
      </c>
      <c r="F94" s="271" t="e">
        <f t="shared" si="21"/>
        <v>#REF!</v>
      </c>
      <c r="G94" s="271" t="e">
        <f t="shared" si="21"/>
        <v>#REF!</v>
      </c>
      <c r="H94" s="271" t="e">
        <f t="shared" si="21"/>
        <v>#REF!</v>
      </c>
      <c r="I94" s="271" t="e">
        <f t="shared" si="21"/>
        <v>#REF!</v>
      </c>
      <c r="J94" s="271" t="e">
        <f t="shared" si="21"/>
        <v>#REF!</v>
      </c>
      <c r="K94" s="271" t="e">
        <f t="shared" si="21"/>
        <v>#REF!</v>
      </c>
      <c r="L94" s="271" t="e">
        <f t="shared" si="21"/>
        <v>#REF!</v>
      </c>
      <c r="M94" s="379" t="e">
        <f t="shared" si="21"/>
        <v>#REF!</v>
      </c>
      <c r="N94" s="396"/>
      <c r="O94" s="397"/>
      <c r="P94" s="370"/>
      <c r="Q94" s="370"/>
      <c r="R94" s="398">
        <f t="shared" si="18"/>
        <v>0</v>
      </c>
      <c r="S94" s="369"/>
      <c r="T94" s="369"/>
      <c r="U94" s="369"/>
      <c r="V94" s="369"/>
    </row>
    <row r="95" spans="1:22" s="267" customFormat="1" ht="13" hidden="1">
      <c r="A95" s="425" t="s">
        <v>174</v>
      </c>
      <c r="B95" s="278">
        <f>0</f>
        <v>0</v>
      </c>
      <c r="C95" s="271">
        <f>0</f>
        <v>0</v>
      </c>
      <c r="D95" s="271">
        <f>0</f>
        <v>0</v>
      </c>
      <c r="E95" s="271">
        <f>0</f>
        <v>0</v>
      </c>
      <c r="F95" s="271">
        <f>0</f>
        <v>0</v>
      </c>
      <c r="G95" s="271">
        <f>0</f>
        <v>0</v>
      </c>
      <c r="H95" s="271">
        <f>0</f>
        <v>0</v>
      </c>
      <c r="I95" s="271">
        <f>0</f>
        <v>0</v>
      </c>
      <c r="J95" s="271">
        <f>0</f>
        <v>0</v>
      </c>
      <c r="K95" s="271">
        <v>0</v>
      </c>
      <c r="L95" s="271">
        <f>0</f>
        <v>0</v>
      </c>
      <c r="M95" s="379">
        <f>0</f>
        <v>0</v>
      </c>
      <c r="N95" s="396"/>
      <c r="O95" s="397"/>
      <c r="P95" s="370"/>
      <c r="Q95" s="370"/>
      <c r="R95" s="398">
        <f t="shared" si="18"/>
        <v>0</v>
      </c>
      <c r="S95" s="369"/>
      <c r="T95" s="369"/>
      <c r="U95" s="369"/>
      <c r="V95" s="369"/>
    </row>
    <row r="96" spans="1:22" s="267" customFormat="1" ht="13" hidden="1">
      <c r="A96" s="424" t="s">
        <v>175</v>
      </c>
      <c r="B96" s="278" t="e">
        <f>SUM(B94:B95)</f>
        <v>#REF!</v>
      </c>
      <c r="C96" s="271" t="e">
        <f t="shared" ref="C96:M96" si="22">SUM(C94:C95)</f>
        <v>#REF!</v>
      </c>
      <c r="D96" s="271" t="e">
        <f t="shared" si="22"/>
        <v>#REF!</v>
      </c>
      <c r="E96" s="271" t="e">
        <f t="shared" si="22"/>
        <v>#REF!</v>
      </c>
      <c r="F96" s="271" t="e">
        <f t="shared" si="22"/>
        <v>#REF!</v>
      </c>
      <c r="G96" s="271" t="e">
        <f t="shared" si="22"/>
        <v>#REF!</v>
      </c>
      <c r="H96" s="271" t="e">
        <f t="shared" si="22"/>
        <v>#REF!</v>
      </c>
      <c r="I96" s="271" t="e">
        <f t="shared" si="22"/>
        <v>#REF!</v>
      </c>
      <c r="J96" s="271" t="e">
        <f t="shared" si="22"/>
        <v>#REF!</v>
      </c>
      <c r="K96" s="271" t="e">
        <f t="shared" si="22"/>
        <v>#REF!</v>
      </c>
      <c r="L96" s="271" t="e">
        <f t="shared" si="22"/>
        <v>#REF!</v>
      </c>
      <c r="M96" s="379" t="e">
        <f t="shared" si="22"/>
        <v>#REF!</v>
      </c>
      <c r="N96" s="396"/>
      <c r="O96" s="397"/>
      <c r="P96" s="370"/>
      <c r="Q96" s="370"/>
      <c r="R96" s="398">
        <f t="shared" si="18"/>
        <v>0</v>
      </c>
      <c r="S96" s="369"/>
      <c r="T96" s="369"/>
      <c r="U96" s="369"/>
      <c r="V96" s="369"/>
    </row>
    <row r="97" spans="1:29" s="267" customFormat="1" ht="15" customHeight="1">
      <c r="A97" s="419"/>
      <c r="B97" s="278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379"/>
      <c r="N97" s="396"/>
      <c r="O97" s="397"/>
      <c r="P97" s="370"/>
      <c r="Q97" s="370"/>
      <c r="R97" s="398"/>
      <c r="S97" s="369"/>
      <c r="T97" s="369"/>
      <c r="U97" s="369"/>
      <c r="V97" s="369"/>
    </row>
    <row r="98" spans="1:29" s="267" customFormat="1" ht="13">
      <c r="A98" s="419" t="s">
        <v>176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379"/>
      <c r="N98" s="396"/>
      <c r="O98" s="397"/>
      <c r="P98" s="133"/>
      <c r="Q98" s="133"/>
      <c r="R98" s="398"/>
    </row>
    <row r="99" spans="1:29" s="267" customFormat="1" ht="13">
      <c r="A99" s="420" t="s">
        <v>177</v>
      </c>
      <c r="B99" s="382">
        <v>2100</v>
      </c>
      <c r="C99" s="382">
        <v>2100</v>
      </c>
      <c r="D99" s="382">
        <v>2100</v>
      </c>
      <c r="E99" s="382">
        <v>2100</v>
      </c>
      <c r="F99" s="382">
        <v>2100</v>
      </c>
      <c r="G99" s="382">
        <v>6600</v>
      </c>
      <c r="H99" s="382">
        <v>2100</v>
      </c>
      <c r="I99" s="382">
        <v>2100</v>
      </c>
      <c r="J99" s="382">
        <v>6600</v>
      </c>
      <c r="K99" s="382">
        <v>2100</v>
      </c>
      <c r="L99" s="382">
        <v>2100</v>
      </c>
      <c r="M99" s="388">
        <v>2100</v>
      </c>
      <c r="N99" s="409">
        <f t="shared" ref="N99:N105" si="23">SUM(B99:M99)</f>
        <v>34200</v>
      </c>
      <c r="O99" s="397">
        <v>34200</v>
      </c>
      <c r="P99" s="271">
        <v>10934</v>
      </c>
      <c r="Q99" s="274">
        <f>N99-P99</f>
        <v>23266</v>
      </c>
      <c r="R99" s="398">
        <f>O99-N99</f>
        <v>0</v>
      </c>
    </row>
    <row r="100" spans="1:29" s="267" customFormat="1" ht="13">
      <c r="A100" s="420" t="s">
        <v>178</v>
      </c>
      <c r="B100" s="278">
        <v>2200</v>
      </c>
      <c r="C100" s="278">
        <v>2200</v>
      </c>
      <c r="D100" s="278">
        <v>2200</v>
      </c>
      <c r="E100" s="278">
        <v>2200</v>
      </c>
      <c r="F100" s="278">
        <v>2200</v>
      </c>
      <c r="G100" s="278">
        <v>2200</v>
      </c>
      <c r="H100" s="278">
        <v>2200</v>
      </c>
      <c r="I100" s="278">
        <v>4200</v>
      </c>
      <c r="J100" s="278">
        <v>4200</v>
      </c>
      <c r="K100" s="278">
        <v>6200</v>
      </c>
      <c r="L100" s="278">
        <v>6200</v>
      </c>
      <c r="M100" s="379">
        <v>6200</v>
      </c>
      <c r="N100" s="396">
        <f t="shared" si="23"/>
        <v>42400</v>
      </c>
      <c r="O100" s="397">
        <v>24400</v>
      </c>
      <c r="P100" s="271">
        <v>40387.379999999997</v>
      </c>
      <c r="Q100" s="274">
        <f>N100-P100</f>
        <v>2012.6200000000026</v>
      </c>
      <c r="R100" s="398">
        <f>O100-N100</f>
        <v>-18000</v>
      </c>
    </row>
    <row r="101" spans="1:29" s="267" customFormat="1" ht="13">
      <c r="A101" s="420" t="s">
        <v>179</v>
      </c>
      <c r="B101" s="278">
        <v>0</v>
      </c>
      <c r="C101" s="278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278">
        <v>0</v>
      </c>
      <c r="L101" s="278">
        <v>0</v>
      </c>
      <c r="M101" s="379">
        <v>0</v>
      </c>
      <c r="N101" s="396">
        <f t="shared" si="23"/>
        <v>0</v>
      </c>
      <c r="O101" s="397">
        <v>0</v>
      </c>
      <c r="P101" s="271">
        <v>4150</v>
      </c>
      <c r="Q101" s="274">
        <f>N101-P101</f>
        <v>-4150</v>
      </c>
      <c r="R101" s="398">
        <f>O101-N101</f>
        <v>0</v>
      </c>
    </row>
    <row r="102" spans="1:29" s="267" customFormat="1" ht="13">
      <c r="A102" s="420" t="s">
        <v>180</v>
      </c>
      <c r="B102" s="278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278">
        <v>0</v>
      </c>
      <c r="L102" s="278">
        <v>0</v>
      </c>
      <c r="M102" s="379">
        <v>0</v>
      </c>
      <c r="N102" s="396">
        <f t="shared" si="23"/>
        <v>0</v>
      </c>
      <c r="O102" s="397">
        <v>0</v>
      </c>
      <c r="P102" s="271"/>
      <c r="Q102" s="274"/>
      <c r="R102" s="398">
        <f t="shared" ref="R102:R117" si="24">O102-N102</f>
        <v>0</v>
      </c>
    </row>
    <row r="103" spans="1:29" s="267" customFormat="1" ht="13">
      <c r="A103" s="420" t="s">
        <v>181</v>
      </c>
      <c r="B103" s="278">
        <v>0</v>
      </c>
      <c r="C103" s="278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278">
        <v>0</v>
      </c>
      <c r="L103" s="278">
        <v>0</v>
      </c>
      <c r="M103" s="379">
        <v>0</v>
      </c>
      <c r="N103" s="396">
        <f t="shared" si="23"/>
        <v>0</v>
      </c>
      <c r="O103" s="397">
        <v>0</v>
      </c>
      <c r="P103" s="271"/>
      <c r="Q103" s="274"/>
      <c r="R103" s="398">
        <f t="shared" si="24"/>
        <v>0</v>
      </c>
    </row>
    <row r="104" spans="1:29" s="267" customFormat="1" ht="13">
      <c r="A104" s="420" t="s">
        <v>182</v>
      </c>
      <c r="B104" s="278">
        <v>1000</v>
      </c>
      <c r="C104" s="278">
        <v>1000</v>
      </c>
      <c r="D104" s="278">
        <v>1000</v>
      </c>
      <c r="E104" s="278">
        <v>1000</v>
      </c>
      <c r="F104" s="278">
        <v>1500</v>
      </c>
      <c r="G104" s="278">
        <v>1000</v>
      </c>
      <c r="H104" s="278">
        <v>1000</v>
      </c>
      <c r="I104" s="278">
        <v>1000</v>
      </c>
      <c r="J104" s="278">
        <v>1000</v>
      </c>
      <c r="K104" s="278">
        <v>1000</v>
      </c>
      <c r="L104" s="278">
        <v>1000</v>
      </c>
      <c r="M104" s="379">
        <v>1000</v>
      </c>
      <c r="N104" s="396">
        <f t="shared" si="23"/>
        <v>12500</v>
      </c>
      <c r="O104" s="397">
        <v>12500</v>
      </c>
      <c r="P104" s="271"/>
      <c r="Q104" s="274"/>
      <c r="R104" s="398">
        <f t="shared" si="24"/>
        <v>0</v>
      </c>
    </row>
    <row r="105" spans="1:29" s="267" customFormat="1" ht="13">
      <c r="A105" s="420" t="s">
        <v>183</v>
      </c>
      <c r="B105" s="278">
        <v>0</v>
      </c>
      <c r="C105" s="278">
        <v>0</v>
      </c>
      <c r="D105" s="278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  <c r="L105" s="278">
        <v>0</v>
      </c>
      <c r="M105" s="379">
        <v>0</v>
      </c>
      <c r="N105" s="405">
        <f t="shared" si="23"/>
        <v>0</v>
      </c>
      <c r="O105" s="397">
        <v>0</v>
      </c>
      <c r="P105" s="271"/>
      <c r="Q105" s="274"/>
      <c r="R105" s="398">
        <f t="shared" si="24"/>
        <v>0</v>
      </c>
    </row>
    <row r="106" spans="1:29" s="267" customFormat="1" ht="13">
      <c r="A106" s="420" t="s">
        <v>184</v>
      </c>
      <c r="B106" s="278"/>
      <c r="C106" s="278"/>
      <c r="D106" s="278"/>
      <c r="E106" s="278"/>
      <c r="F106" s="278"/>
      <c r="G106" s="278"/>
      <c r="H106" s="271"/>
      <c r="I106" s="271"/>
      <c r="J106" s="271"/>
      <c r="K106" s="271"/>
      <c r="L106" s="271"/>
      <c r="M106" s="379"/>
      <c r="N106" s="410"/>
      <c r="O106" s="397"/>
      <c r="P106" s="271"/>
      <c r="Q106" s="274">
        <f>N106-P106</f>
        <v>0</v>
      </c>
      <c r="R106" s="398"/>
    </row>
    <row r="107" spans="1:29" s="267" customFormat="1" ht="13">
      <c r="A107" s="420" t="s">
        <v>185</v>
      </c>
      <c r="B107" s="278">
        <v>0</v>
      </c>
      <c r="C107" s="367">
        <v>0</v>
      </c>
      <c r="D107" s="367">
        <v>0</v>
      </c>
      <c r="E107" s="367">
        <v>0</v>
      </c>
      <c r="F107" s="367">
        <v>0</v>
      </c>
      <c r="G107" s="367">
        <v>0</v>
      </c>
      <c r="H107" s="367">
        <v>0</v>
      </c>
      <c r="I107" s="367">
        <v>0</v>
      </c>
      <c r="J107" s="367">
        <v>0</v>
      </c>
      <c r="K107" s="367">
        <v>0</v>
      </c>
      <c r="L107" s="367">
        <v>0</v>
      </c>
      <c r="M107" s="389">
        <v>0</v>
      </c>
      <c r="N107" s="405">
        <f>SUM(B107:M107)</f>
        <v>0</v>
      </c>
      <c r="O107" s="406">
        <f>'StartNew Revenue &amp; Costs'!AK13+'StartNew Revenue &amp; Costs'!AK21</f>
        <v>0</v>
      </c>
      <c r="P107" s="271">
        <f>'StartNew Revenue &amp; Costs'!AL13+'StartNew Revenue &amp; Costs'!AL21</f>
        <v>0</v>
      </c>
      <c r="Q107" s="271">
        <v>0</v>
      </c>
      <c r="R107" s="398">
        <f t="shared" si="24"/>
        <v>0</v>
      </c>
      <c r="S107" s="271"/>
      <c r="T107" s="271"/>
      <c r="U107" s="271">
        <f>'StartNew Revenue &amp; Costs'!AQ13+'StartNew Revenue &amp; Costs'!AQ21</f>
        <v>0</v>
      </c>
      <c r="V107" s="271">
        <f>'StartNew Revenue &amp; Costs'!AR13+'StartNew Revenue &amp; Costs'!AR21</f>
        <v>0</v>
      </c>
      <c r="W107" s="271">
        <v>0</v>
      </c>
      <c r="X107" s="271">
        <f>'StartNew Revenue &amp; Costs'!AT13+'StartNew Revenue &amp; Costs'!AT21</f>
        <v>0</v>
      </c>
      <c r="Y107" s="284">
        <f>SUM(B107:X107)</f>
        <v>0</v>
      </c>
      <c r="Z107" s="286">
        <v>875</v>
      </c>
      <c r="AA107" s="271">
        <v>875</v>
      </c>
      <c r="AB107" s="274">
        <f>Y107-AA107</f>
        <v>-875</v>
      </c>
      <c r="AC107" s="274">
        <f>Z107-Y107</f>
        <v>875</v>
      </c>
    </row>
    <row r="108" spans="1:29" s="267" customFormat="1" ht="13">
      <c r="A108" s="420" t="s">
        <v>186</v>
      </c>
      <c r="B108" s="278">
        <v>0</v>
      </c>
      <c r="C108" s="278">
        <v>0</v>
      </c>
      <c r="D108" s="278">
        <v>0</v>
      </c>
      <c r="E108" s="278">
        <v>0</v>
      </c>
      <c r="F108" s="278">
        <v>0</v>
      </c>
      <c r="G108" s="278">
        <v>0</v>
      </c>
      <c r="H108" s="278">
        <v>3500</v>
      </c>
      <c r="I108" s="278">
        <v>0</v>
      </c>
      <c r="J108" s="278">
        <v>0</v>
      </c>
      <c r="K108" s="278">
        <v>3500</v>
      </c>
      <c r="L108" s="278">
        <v>0</v>
      </c>
      <c r="M108" s="379">
        <v>0</v>
      </c>
      <c r="N108" s="396">
        <f>SUM(B108:M108)</f>
        <v>7000</v>
      </c>
      <c r="O108" s="397">
        <v>7000</v>
      </c>
      <c r="P108" s="271">
        <v>0</v>
      </c>
      <c r="Q108" s="274">
        <f>N108-P108</f>
        <v>7000</v>
      </c>
      <c r="R108" s="398">
        <f t="shared" si="24"/>
        <v>0</v>
      </c>
    </row>
    <row r="109" spans="1:29" s="267" customFormat="1" ht="13">
      <c r="A109" s="420" t="s">
        <v>187</v>
      </c>
      <c r="B109" s="278">
        <v>0</v>
      </c>
      <c r="C109" s="278">
        <v>0</v>
      </c>
      <c r="D109" s="278">
        <v>0</v>
      </c>
      <c r="E109" s="278">
        <v>0</v>
      </c>
      <c r="F109" s="278">
        <v>0</v>
      </c>
      <c r="G109" s="278">
        <v>0</v>
      </c>
      <c r="H109" s="271">
        <v>1500</v>
      </c>
      <c r="I109" s="271">
        <v>0</v>
      </c>
      <c r="J109" s="271">
        <v>0</v>
      </c>
      <c r="K109" s="271">
        <v>1500</v>
      </c>
      <c r="L109" s="271">
        <v>0</v>
      </c>
      <c r="M109" s="379">
        <v>0</v>
      </c>
      <c r="N109" s="396">
        <f t="shared" ref="N109:N115" si="25">SUM(B109:M109)</f>
        <v>3000</v>
      </c>
      <c r="O109" s="397">
        <v>3000</v>
      </c>
      <c r="P109" s="271">
        <v>11057.409999999998</v>
      </c>
      <c r="Q109" s="274">
        <f>N109-P109</f>
        <v>-8057.409999999998</v>
      </c>
      <c r="R109" s="398">
        <f t="shared" si="24"/>
        <v>0</v>
      </c>
    </row>
    <row r="110" spans="1:29" s="267" customFormat="1" ht="13">
      <c r="A110" s="420" t="s">
        <v>188</v>
      </c>
      <c r="B110" s="278">
        <v>0</v>
      </c>
      <c r="C110" s="278">
        <v>0</v>
      </c>
      <c r="D110" s="278">
        <v>0</v>
      </c>
      <c r="E110" s="278">
        <v>0</v>
      </c>
      <c r="F110" s="278">
        <v>0</v>
      </c>
      <c r="G110" s="278">
        <v>0</v>
      </c>
      <c r="H110" s="271">
        <v>1000</v>
      </c>
      <c r="I110" s="271">
        <v>0</v>
      </c>
      <c r="J110" s="271">
        <v>0</v>
      </c>
      <c r="K110" s="271">
        <v>1000</v>
      </c>
      <c r="L110" s="271">
        <v>0</v>
      </c>
      <c r="M110" s="379">
        <v>0</v>
      </c>
      <c r="N110" s="396">
        <f>SUM(B110:M110)</f>
        <v>2000</v>
      </c>
      <c r="O110" s="397">
        <v>2000</v>
      </c>
      <c r="P110" s="271">
        <v>5082.8500000000004</v>
      </c>
      <c r="Q110" s="274">
        <f>N110-P110</f>
        <v>-3082.8500000000004</v>
      </c>
      <c r="R110" s="398">
        <f t="shared" si="24"/>
        <v>0</v>
      </c>
    </row>
    <row r="111" spans="1:29" s="267" customFormat="1" ht="13">
      <c r="A111" s="420" t="s">
        <v>189</v>
      </c>
      <c r="B111" s="278">
        <v>0</v>
      </c>
      <c r="C111" s="278">
        <v>0</v>
      </c>
      <c r="D111" s="278">
        <v>0</v>
      </c>
      <c r="E111" s="278">
        <v>0</v>
      </c>
      <c r="F111" s="278">
        <v>0</v>
      </c>
      <c r="G111" s="278">
        <v>0</v>
      </c>
      <c r="H111" s="271">
        <v>1000</v>
      </c>
      <c r="I111" s="271">
        <v>0</v>
      </c>
      <c r="J111" s="271">
        <v>0</v>
      </c>
      <c r="K111" s="271">
        <v>1000</v>
      </c>
      <c r="L111" s="271">
        <v>0</v>
      </c>
      <c r="M111" s="379">
        <v>0</v>
      </c>
      <c r="N111" s="396">
        <f t="shared" si="25"/>
        <v>2000</v>
      </c>
      <c r="O111" s="397">
        <v>2000</v>
      </c>
      <c r="P111" s="271">
        <v>7928.23</v>
      </c>
      <c r="Q111" s="274">
        <f>N111-P111</f>
        <v>-5928.23</v>
      </c>
      <c r="R111" s="398">
        <f t="shared" si="24"/>
        <v>0</v>
      </c>
    </row>
    <row r="112" spans="1:29" s="267" customFormat="1" ht="13">
      <c r="A112" s="420" t="s">
        <v>190</v>
      </c>
      <c r="B112" s="278">
        <v>0</v>
      </c>
      <c r="C112" s="278">
        <v>0</v>
      </c>
      <c r="D112" s="278">
        <v>0</v>
      </c>
      <c r="E112" s="278">
        <v>0</v>
      </c>
      <c r="F112" s="278">
        <v>0</v>
      </c>
      <c r="G112" s="278">
        <v>0</v>
      </c>
      <c r="H112" s="271">
        <v>2000</v>
      </c>
      <c r="I112" s="271">
        <v>0</v>
      </c>
      <c r="J112" s="271">
        <v>0</v>
      </c>
      <c r="K112" s="271">
        <v>2000</v>
      </c>
      <c r="L112" s="271">
        <v>0</v>
      </c>
      <c r="M112" s="379">
        <v>0</v>
      </c>
      <c r="N112" s="396">
        <f t="shared" si="25"/>
        <v>4000</v>
      </c>
      <c r="O112" s="397">
        <v>4000</v>
      </c>
      <c r="P112" s="271"/>
      <c r="Q112" s="274"/>
      <c r="R112" s="398">
        <f t="shared" si="24"/>
        <v>0</v>
      </c>
    </row>
    <row r="113" spans="1:19" s="267" customFormat="1" ht="13">
      <c r="A113" s="426" t="s">
        <v>191</v>
      </c>
      <c r="B113" s="278">
        <v>0</v>
      </c>
      <c r="C113" s="278">
        <v>0</v>
      </c>
      <c r="D113" s="278">
        <v>0</v>
      </c>
      <c r="E113" s="278">
        <v>0</v>
      </c>
      <c r="F113" s="278">
        <v>0</v>
      </c>
      <c r="G113" s="278">
        <v>0</v>
      </c>
      <c r="H113" s="271">
        <v>1000</v>
      </c>
      <c r="I113" s="271">
        <v>0</v>
      </c>
      <c r="J113" s="271">
        <v>0</v>
      </c>
      <c r="K113" s="271">
        <v>1000</v>
      </c>
      <c r="L113" s="271">
        <v>0</v>
      </c>
      <c r="M113" s="379">
        <v>0</v>
      </c>
      <c r="N113" s="396">
        <f t="shared" si="25"/>
        <v>2000</v>
      </c>
      <c r="O113" s="397">
        <v>2000</v>
      </c>
      <c r="P113" s="271"/>
      <c r="Q113" s="274"/>
      <c r="R113" s="398">
        <f t="shared" si="24"/>
        <v>0</v>
      </c>
    </row>
    <row r="114" spans="1:19" s="267" customFormat="1" ht="13">
      <c r="A114" s="420" t="s">
        <v>192</v>
      </c>
      <c r="B114" s="278">
        <v>200</v>
      </c>
      <c r="C114" s="278">
        <v>200</v>
      </c>
      <c r="D114" s="278">
        <v>200</v>
      </c>
      <c r="E114" s="278">
        <v>200</v>
      </c>
      <c r="F114" s="278">
        <v>200</v>
      </c>
      <c r="G114" s="278">
        <v>200</v>
      </c>
      <c r="H114" s="278">
        <v>200</v>
      </c>
      <c r="I114" s="278">
        <v>200</v>
      </c>
      <c r="J114" s="278">
        <v>200</v>
      </c>
      <c r="K114" s="278">
        <v>200</v>
      </c>
      <c r="L114" s="278">
        <v>200</v>
      </c>
      <c r="M114" s="379">
        <v>200</v>
      </c>
      <c r="N114" s="396">
        <f>SUM(B114:M114)</f>
        <v>2400</v>
      </c>
      <c r="O114" s="397">
        <v>2400</v>
      </c>
      <c r="P114" s="271"/>
      <c r="Q114" s="274"/>
      <c r="R114" s="398">
        <f t="shared" si="24"/>
        <v>0</v>
      </c>
    </row>
    <row r="115" spans="1:19" s="267" customFormat="1" ht="13">
      <c r="A115" s="420" t="s">
        <v>193</v>
      </c>
      <c r="B115" s="278">
        <v>1000</v>
      </c>
      <c r="C115" s="278">
        <v>1000</v>
      </c>
      <c r="D115" s="278">
        <v>2000</v>
      </c>
      <c r="E115" s="278">
        <v>2000</v>
      </c>
      <c r="F115" s="278">
        <v>2000</v>
      </c>
      <c r="G115" s="278">
        <v>2000</v>
      </c>
      <c r="H115" s="278">
        <v>2000</v>
      </c>
      <c r="I115" s="278">
        <v>2000</v>
      </c>
      <c r="J115" s="278">
        <v>2000</v>
      </c>
      <c r="K115" s="278">
        <v>2000</v>
      </c>
      <c r="L115" s="278">
        <v>2000</v>
      </c>
      <c r="M115" s="379">
        <v>2000</v>
      </c>
      <c r="N115" s="396">
        <f t="shared" si="25"/>
        <v>22000</v>
      </c>
      <c r="O115" s="397">
        <v>24000</v>
      </c>
      <c r="P115" s="278"/>
      <c r="Q115" s="286"/>
      <c r="R115" s="398">
        <f t="shared" si="24"/>
        <v>2000</v>
      </c>
    </row>
    <row r="116" spans="1:19" s="267" customFormat="1" ht="13">
      <c r="A116" s="420" t="s">
        <v>194</v>
      </c>
      <c r="B116" s="278">
        <v>2000</v>
      </c>
      <c r="C116" s="278">
        <v>2000</v>
      </c>
      <c r="D116" s="278">
        <v>3000</v>
      </c>
      <c r="E116" s="278">
        <v>3000</v>
      </c>
      <c r="F116" s="278">
        <v>3000</v>
      </c>
      <c r="G116" s="278">
        <v>4000</v>
      </c>
      <c r="H116" s="278">
        <v>6000</v>
      </c>
      <c r="I116" s="278">
        <v>4000</v>
      </c>
      <c r="J116" s="278">
        <v>4000</v>
      </c>
      <c r="K116" s="278">
        <v>7000</v>
      </c>
      <c r="L116" s="278">
        <v>5000</v>
      </c>
      <c r="M116" s="379">
        <v>7000</v>
      </c>
      <c r="N116" s="396">
        <f>SUM(B116:M116)</f>
        <v>50000</v>
      </c>
      <c r="O116" s="397">
        <v>64000</v>
      </c>
      <c r="P116" s="278"/>
      <c r="Q116" s="286"/>
      <c r="R116" s="398">
        <f t="shared" si="24"/>
        <v>14000</v>
      </c>
    </row>
    <row r="117" spans="1:19" s="267" customFormat="1" ht="13">
      <c r="A117" s="437" t="s">
        <v>92</v>
      </c>
      <c r="B117" s="276">
        <f t="shared" ref="B117:M117" si="26">SUM(B99:B116)</f>
        <v>8500</v>
      </c>
      <c r="C117" s="277">
        <f t="shared" si="26"/>
        <v>8500</v>
      </c>
      <c r="D117" s="276">
        <f t="shared" si="26"/>
        <v>10500</v>
      </c>
      <c r="E117" s="276">
        <f t="shared" si="26"/>
        <v>10500</v>
      </c>
      <c r="F117" s="276">
        <f t="shared" si="26"/>
        <v>11000</v>
      </c>
      <c r="G117" s="276">
        <f t="shared" si="26"/>
        <v>16000</v>
      </c>
      <c r="H117" s="276">
        <f t="shared" si="26"/>
        <v>23500</v>
      </c>
      <c r="I117" s="276">
        <f t="shared" si="26"/>
        <v>13500</v>
      </c>
      <c r="J117" s="276">
        <f t="shared" si="26"/>
        <v>18000</v>
      </c>
      <c r="K117" s="276">
        <f t="shared" si="26"/>
        <v>28500</v>
      </c>
      <c r="L117" s="276">
        <f t="shared" si="26"/>
        <v>16500</v>
      </c>
      <c r="M117" s="276">
        <f t="shared" si="26"/>
        <v>18500</v>
      </c>
      <c r="N117" s="439">
        <f>SUM(B117:M117)</f>
        <v>183500</v>
      </c>
      <c r="O117" s="440">
        <f>SUM(O97:O116)</f>
        <v>181500</v>
      </c>
      <c r="P117" s="276">
        <v>80414.87</v>
      </c>
      <c r="Q117" s="276">
        <f>N117-P117</f>
        <v>103085.13</v>
      </c>
      <c r="R117" s="441">
        <f t="shared" si="24"/>
        <v>-2000</v>
      </c>
    </row>
    <row r="118" spans="1:19" s="267" customFormat="1" ht="13" customHeight="1">
      <c r="A118" s="419"/>
      <c r="B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384"/>
      <c r="N118" s="396"/>
      <c r="O118" s="397"/>
      <c r="P118" s="133"/>
      <c r="Q118" s="133"/>
      <c r="R118" s="398"/>
    </row>
    <row r="119" spans="1:19" s="267" customFormat="1" ht="14" customHeight="1">
      <c r="A119" s="419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384"/>
      <c r="N119" s="396"/>
      <c r="O119" s="397"/>
      <c r="P119" s="133"/>
      <c r="Q119" s="133"/>
      <c r="R119" s="398"/>
    </row>
    <row r="120" spans="1:19" s="267" customFormat="1" ht="13">
      <c r="A120" s="419" t="s">
        <v>195</v>
      </c>
      <c r="B120" s="278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379"/>
      <c r="N120" s="396"/>
      <c r="O120" s="397"/>
      <c r="P120" s="133"/>
      <c r="Q120" s="133"/>
      <c r="R120" s="398"/>
    </row>
    <row r="121" spans="1:19" s="267" customFormat="1" ht="13">
      <c r="A121" s="420" t="s">
        <v>196</v>
      </c>
      <c r="B121" s="278">
        <v>0</v>
      </c>
      <c r="C121" s="271">
        <v>0</v>
      </c>
      <c r="D121" s="271">
        <v>0</v>
      </c>
      <c r="E121" s="271">
        <v>0</v>
      </c>
      <c r="F121" s="271">
        <v>0</v>
      </c>
      <c r="G121" s="271">
        <v>0</v>
      </c>
      <c r="H121" s="271">
        <v>0</v>
      </c>
      <c r="I121" s="271">
        <v>0</v>
      </c>
      <c r="J121" s="271">
        <v>0</v>
      </c>
      <c r="K121" s="271">
        <v>0</v>
      </c>
      <c r="L121" s="271">
        <v>0</v>
      </c>
      <c r="M121" s="379">
        <v>0</v>
      </c>
      <c r="N121" s="396">
        <f>SUM(B121:M121)</f>
        <v>0</v>
      </c>
      <c r="O121" s="397">
        <v>0</v>
      </c>
      <c r="P121" s="271">
        <v>11031.75</v>
      </c>
      <c r="Q121" s="274">
        <f>N121-P121</f>
        <v>-11031.75</v>
      </c>
      <c r="R121" s="398">
        <f>O121-N121</f>
        <v>0</v>
      </c>
    </row>
    <row r="122" spans="1:19" s="267" customFormat="1" ht="13">
      <c r="A122" s="419" t="s">
        <v>197</v>
      </c>
      <c r="B122" s="276">
        <f t="shared" ref="B122:M122" si="27">SUM(B121:B121)</f>
        <v>0</v>
      </c>
      <c r="C122" s="276">
        <f t="shared" si="27"/>
        <v>0</v>
      </c>
      <c r="D122" s="276">
        <f t="shared" si="27"/>
        <v>0</v>
      </c>
      <c r="E122" s="276">
        <f t="shared" si="27"/>
        <v>0</v>
      </c>
      <c r="F122" s="276">
        <f t="shared" si="27"/>
        <v>0</v>
      </c>
      <c r="G122" s="276">
        <f t="shared" si="27"/>
        <v>0</v>
      </c>
      <c r="H122" s="276">
        <f t="shared" si="27"/>
        <v>0</v>
      </c>
      <c r="I122" s="276">
        <f t="shared" si="27"/>
        <v>0</v>
      </c>
      <c r="J122" s="276">
        <f t="shared" si="27"/>
        <v>0</v>
      </c>
      <c r="K122" s="276">
        <f t="shared" si="27"/>
        <v>0</v>
      </c>
      <c r="L122" s="276">
        <f t="shared" si="27"/>
        <v>0</v>
      </c>
      <c r="M122" s="380">
        <f t="shared" si="27"/>
        <v>0</v>
      </c>
      <c r="N122" s="400">
        <f>SUM(B122:M122)</f>
        <v>0</v>
      </c>
      <c r="O122" s="408">
        <v>0</v>
      </c>
      <c r="P122" s="276">
        <v>18072.3</v>
      </c>
      <c r="Q122" s="276">
        <f>N122-P122</f>
        <v>-18072.3</v>
      </c>
      <c r="R122" s="404">
        <f>O122-N122</f>
        <v>0</v>
      </c>
    </row>
    <row r="123" spans="1:19" s="267" customFormat="1" ht="6" customHeight="1">
      <c r="A123" s="419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384"/>
      <c r="N123" s="396"/>
      <c r="O123" s="397"/>
      <c r="P123" s="133"/>
      <c r="Q123" s="133"/>
      <c r="R123" s="398"/>
    </row>
    <row r="124" spans="1:19" s="267" customFormat="1" ht="14.5" customHeight="1">
      <c r="A124" s="419" t="s">
        <v>198</v>
      </c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384"/>
      <c r="N124" s="396"/>
      <c r="O124" s="397"/>
      <c r="P124" s="133"/>
      <c r="Q124" s="133"/>
      <c r="R124" s="398"/>
    </row>
    <row r="125" spans="1:19" s="267" customFormat="1" ht="13">
      <c r="A125" s="420" t="s">
        <v>199</v>
      </c>
      <c r="B125" s="278">
        <v>18000</v>
      </c>
      <c r="C125" s="278">
        <v>18000</v>
      </c>
      <c r="D125" s="278">
        <v>18000</v>
      </c>
      <c r="E125" s="278">
        <v>18000</v>
      </c>
      <c r="F125" s="278">
        <v>18000</v>
      </c>
      <c r="G125" s="278">
        <v>18000</v>
      </c>
      <c r="H125" s="278">
        <v>18000</v>
      </c>
      <c r="I125" s="278">
        <v>18000</v>
      </c>
      <c r="J125" s="278">
        <v>18000</v>
      </c>
      <c r="K125" s="278">
        <v>18000</v>
      </c>
      <c r="L125" s="278">
        <v>18000</v>
      </c>
      <c r="M125" s="379">
        <v>18000</v>
      </c>
      <c r="N125" s="396">
        <f>SUM(B125:M125)</f>
        <v>216000</v>
      </c>
      <c r="O125" s="397">
        <v>216000</v>
      </c>
      <c r="P125" s="271">
        <v>376153.68000000011</v>
      </c>
      <c r="Q125" s="274">
        <f>N125-P125</f>
        <v>-160153.68000000011</v>
      </c>
      <c r="R125" s="398">
        <f t="shared" ref="R125:R138" si="28">O125-N125</f>
        <v>0</v>
      </c>
    </row>
    <row r="126" spans="1:19" s="267" customFormat="1" ht="13">
      <c r="A126" s="420" t="s">
        <v>200</v>
      </c>
      <c r="B126" s="278">
        <v>0</v>
      </c>
      <c r="C126" s="278">
        <v>0</v>
      </c>
      <c r="D126" s="278">
        <v>0</v>
      </c>
      <c r="E126" s="278">
        <v>0</v>
      </c>
      <c r="F126" s="278">
        <v>0</v>
      </c>
      <c r="G126" s="278">
        <v>0</v>
      </c>
      <c r="H126" s="278">
        <v>0</v>
      </c>
      <c r="I126" s="278">
        <v>0</v>
      </c>
      <c r="J126" s="278">
        <v>0</v>
      </c>
      <c r="K126" s="278">
        <v>0</v>
      </c>
      <c r="L126" s="278">
        <v>0</v>
      </c>
      <c r="M126" s="379">
        <v>0</v>
      </c>
      <c r="N126" s="396">
        <f>SUM(B126:M126)</f>
        <v>0</v>
      </c>
      <c r="O126" s="397"/>
      <c r="P126" s="271">
        <v>46507.833333333336</v>
      </c>
      <c r="Q126" s="274">
        <f>N126-P126</f>
        <v>-46507.833333333336</v>
      </c>
      <c r="R126" s="398">
        <f t="shared" si="28"/>
        <v>0</v>
      </c>
      <c r="S126" s="273"/>
    </row>
    <row r="127" spans="1:19" s="267" customFormat="1" ht="13">
      <c r="A127" s="420" t="s">
        <v>201</v>
      </c>
      <c r="B127" s="278">
        <v>12500</v>
      </c>
      <c r="C127" s="278">
        <v>12500</v>
      </c>
      <c r="D127" s="278">
        <v>12500</v>
      </c>
      <c r="E127" s="278">
        <v>12500</v>
      </c>
      <c r="F127" s="278">
        <v>12500</v>
      </c>
      <c r="G127" s="278">
        <v>12500</v>
      </c>
      <c r="H127" s="278">
        <v>12500</v>
      </c>
      <c r="I127" s="278">
        <v>12500</v>
      </c>
      <c r="J127" s="278">
        <v>12500</v>
      </c>
      <c r="K127" s="278">
        <v>12500</v>
      </c>
      <c r="L127" s="278">
        <v>12500</v>
      </c>
      <c r="M127" s="379">
        <v>12500</v>
      </c>
      <c r="N127" s="405">
        <f>SUM(B127:M127)</f>
        <v>150000</v>
      </c>
      <c r="O127" s="406">
        <v>150000</v>
      </c>
      <c r="P127" s="271"/>
      <c r="Q127" s="275"/>
      <c r="R127" s="398">
        <f t="shared" si="28"/>
        <v>0</v>
      </c>
    </row>
    <row r="128" spans="1:19" s="267" customFormat="1" ht="12">
      <c r="A128" s="420"/>
      <c r="B128" s="278">
        <v>0</v>
      </c>
      <c r="C128" s="278">
        <v>0</v>
      </c>
      <c r="D128" s="278">
        <v>0</v>
      </c>
      <c r="E128" s="278">
        <v>0</v>
      </c>
      <c r="F128" s="278">
        <v>0</v>
      </c>
      <c r="G128" s="278">
        <v>0</v>
      </c>
      <c r="H128" s="278">
        <v>0</v>
      </c>
      <c r="I128" s="278">
        <v>0</v>
      </c>
      <c r="J128" s="278">
        <v>0</v>
      </c>
      <c r="K128" s="278">
        <v>0</v>
      </c>
      <c r="L128" s="278">
        <v>0</v>
      </c>
      <c r="M128" s="379">
        <v>0</v>
      </c>
      <c r="N128" s="405">
        <f t="shared" ref="N128:N138" si="29">SUM(B128:M128)</f>
        <v>0</v>
      </c>
      <c r="O128" s="406">
        <v>0</v>
      </c>
      <c r="P128" s="271"/>
      <c r="Q128" s="275"/>
      <c r="R128" s="398">
        <f t="shared" si="28"/>
        <v>0</v>
      </c>
    </row>
    <row r="129" spans="1:19" s="267" customFormat="1" ht="13">
      <c r="A129" s="420" t="s">
        <v>202</v>
      </c>
      <c r="B129" s="278">
        <v>5000</v>
      </c>
      <c r="C129" s="278">
        <v>5000</v>
      </c>
      <c r="D129" s="278">
        <v>5000</v>
      </c>
      <c r="E129" s="278">
        <v>7000</v>
      </c>
      <c r="F129" s="278">
        <v>7000</v>
      </c>
      <c r="G129" s="278">
        <v>7000</v>
      </c>
      <c r="H129" s="278">
        <v>7000</v>
      </c>
      <c r="I129" s="278">
        <v>7000</v>
      </c>
      <c r="J129" s="278">
        <v>7000</v>
      </c>
      <c r="K129" s="278">
        <v>7000</v>
      </c>
      <c r="L129" s="278">
        <v>7000</v>
      </c>
      <c r="M129" s="379">
        <v>7000</v>
      </c>
      <c r="N129" s="405">
        <f t="shared" si="29"/>
        <v>78000</v>
      </c>
      <c r="O129" s="406">
        <v>84000</v>
      </c>
      <c r="P129" s="271"/>
      <c r="Q129" s="275"/>
      <c r="R129" s="398">
        <f t="shared" si="28"/>
        <v>6000</v>
      </c>
    </row>
    <row r="130" spans="1:19" s="267" customFormat="1" ht="13">
      <c r="A130" s="420" t="s">
        <v>203</v>
      </c>
      <c r="B130" s="278">
        <v>1700</v>
      </c>
      <c r="C130" s="278">
        <v>1700</v>
      </c>
      <c r="D130" s="278">
        <v>1700</v>
      </c>
      <c r="E130" s="278">
        <v>1700</v>
      </c>
      <c r="F130" s="278">
        <v>1700</v>
      </c>
      <c r="G130" s="278">
        <v>1700</v>
      </c>
      <c r="H130" s="278">
        <v>1700</v>
      </c>
      <c r="I130" s="278">
        <v>1700</v>
      </c>
      <c r="J130" s="278">
        <v>1700</v>
      </c>
      <c r="K130" s="278">
        <v>1700</v>
      </c>
      <c r="L130" s="278">
        <v>1700</v>
      </c>
      <c r="M130" s="379">
        <v>1700</v>
      </c>
      <c r="N130" s="405">
        <f>SUM(B130:M130)</f>
        <v>20400</v>
      </c>
      <c r="O130" s="406">
        <v>20400</v>
      </c>
      <c r="P130" s="271"/>
      <c r="Q130" s="275"/>
      <c r="R130" s="398">
        <f t="shared" si="28"/>
        <v>0</v>
      </c>
    </row>
    <row r="131" spans="1:19" s="267" customFormat="1" ht="13">
      <c r="A131" s="420" t="s">
        <v>204</v>
      </c>
      <c r="B131" s="278">
        <v>3000</v>
      </c>
      <c r="C131" s="278">
        <v>3000</v>
      </c>
      <c r="D131" s="278">
        <v>3000</v>
      </c>
      <c r="E131" s="278">
        <v>4000</v>
      </c>
      <c r="F131" s="278">
        <v>4000</v>
      </c>
      <c r="G131" s="278">
        <v>4000</v>
      </c>
      <c r="H131" s="278">
        <v>4000</v>
      </c>
      <c r="I131" s="278">
        <v>4000</v>
      </c>
      <c r="J131" s="278">
        <v>4000</v>
      </c>
      <c r="K131" s="278">
        <v>4000</v>
      </c>
      <c r="L131" s="278">
        <v>4000</v>
      </c>
      <c r="M131" s="379">
        <v>4000</v>
      </c>
      <c r="N131" s="405">
        <f t="shared" si="29"/>
        <v>45000</v>
      </c>
      <c r="O131" s="406">
        <v>48000</v>
      </c>
      <c r="P131" s="271"/>
      <c r="Q131" s="275"/>
      <c r="R131" s="398">
        <f t="shared" si="28"/>
        <v>3000</v>
      </c>
    </row>
    <row r="132" spans="1:19" s="267" customFormat="1" ht="13">
      <c r="A132" s="420" t="s">
        <v>205</v>
      </c>
      <c r="B132" s="278">
        <v>500</v>
      </c>
      <c r="C132" s="278">
        <v>500</v>
      </c>
      <c r="D132" s="278">
        <v>500</v>
      </c>
      <c r="E132" s="278">
        <v>500</v>
      </c>
      <c r="F132" s="278">
        <v>500</v>
      </c>
      <c r="G132" s="278">
        <v>500</v>
      </c>
      <c r="H132" s="278">
        <v>500</v>
      </c>
      <c r="I132" s="278">
        <v>500</v>
      </c>
      <c r="J132" s="278">
        <v>500</v>
      </c>
      <c r="K132" s="278">
        <v>500</v>
      </c>
      <c r="L132" s="278">
        <v>500</v>
      </c>
      <c r="M132" s="379">
        <v>500</v>
      </c>
      <c r="N132" s="405">
        <f t="shared" si="29"/>
        <v>6000</v>
      </c>
      <c r="O132" s="406">
        <v>6000</v>
      </c>
      <c r="P132" s="271"/>
      <c r="Q132" s="275"/>
      <c r="R132" s="398">
        <f t="shared" si="28"/>
        <v>0</v>
      </c>
    </row>
    <row r="133" spans="1:19" s="267" customFormat="1" ht="13">
      <c r="A133" s="420" t="s">
        <v>206</v>
      </c>
      <c r="B133" s="278">
        <v>2000</v>
      </c>
      <c r="C133" s="278">
        <v>2000</v>
      </c>
      <c r="D133" s="278">
        <v>2000</v>
      </c>
      <c r="E133" s="278">
        <v>2000</v>
      </c>
      <c r="F133" s="278">
        <v>2000</v>
      </c>
      <c r="G133" s="278">
        <v>2000</v>
      </c>
      <c r="H133" s="278">
        <v>2000</v>
      </c>
      <c r="I133" s="278">
        <v>2000</v>
      </c>
      <c r="J133" s="278">
        <v>2000</v>
      </c>
      <c r="K133" s="278">
        <v>2000</v>
      </c>
      <c r="L133" s="278">
        <v>2000</v>
      </c>
      <c r="M133" s="379">
        <v>2000</v>
      </c>
      <c r="N133" s="405">
        <f t="shared" si="29"/>
        <v>24000</v>
      </c>
      <c r="O133" s="406">
        <v>24000</v>
      </c>
      <c r="P133" s="271"/>
      <c r="Q133" s="275"/>
      <c r="R133" s="398">
        <f t="shared" si="28"/>
        <v>0</v>
      </c>
    </row>
    <row r="134" spans="1:19" s="267" customFormat="1" ht="13">
      <c r="A134" s="420" t="s">
        <v>207</v>
      </c>
      <c r="B134" s="278">
        <v>2000</v>
      </c>
      <c r="C134" s="278">
        <v>2000</v>
      </c>
      <c r="D134" s="278">
        <v>2000</v>
      </c>
      <c r="E134" s="278">
        <v>2000</v>
      </c>
      <c r="F134" s="278">
        <v>2000</v>
      </c>
      <c r="G134" s="278">
        <v>2000</v>
      </c>
      <c r="H134" s="278">
        <v>2000</v>
      </c>
      <c r="I134" s="278">
        <v>2000</v>
      </c>
      <c r="J134" s="278">
        <v>2000</v>
      </c>
      <c r="K134" s="278">
        <v>2000</v>
      </c>
      <c r="L134" s="278">
        <v>2000</v>
      </c>
      <c r="M134" s="379">
        <v>2000</v>
      </c>
      <c r="N134" s="405">
        <f>SUM(B134:M134)</f>
        <v>24000</v>
      </c>
      <c r="O134" s="406">
        <v>24000</v>
      </c>
      <c r="P134" s="271"/>
      <c r="Q134" s="275"/>
      <c r="R134" s="398">
        <f t="shared" si="28"/>
        <v>0</v>
      </c>
    </row>
    <row r="135" spans="1:19" s="267" customFormat="1" ht="13">
      <c r="A135" s="420" t="s">
        <v>208</v>
      </c>
      <c r="B135" s="278">
        <v>0</v>
      </c>
      <c r="C135" s="278">
        <v>0</v>
      </c>
      <c r="D135" s="278">
        <v>0</v>
      </c>
      <c r="E135" s="278">
        <v>4000</v>
      </c>
      <c r="F135" s="278">
        <v>4000</v>
      </c>
      <c r="G135" s="278">
        <v>4000</v>
      </c>
      <c r="H135" s="278">
        <v>4000</v>
      </c>
      <c r="I135" s="278">
        <v>4000</v>
      </c>
      <c r="J135" s="278">
        <v>4000</v>
      </c>
      <c r="K135" s="278">
        <v>4000</v>
      </c>
      <c r="L135" s="278">
        <v>4000</v>
      </c>
      <c r="M135" s="379">
        <v>4000</v>
      </c>
      <c r="N135" s="405">
        <f>SUM(B135:M135)</f>
        <v>36000</v>
      </c>
      <c r="O135" s="406">
        <v>48000</v>
      </c>
      <c r="P135" s="271"/>
      <c r="Q135" s="275"/>
      <c r="R135" s="398">
        <f t="shared" si="28"/>
        <v>12000</v>
      </c>
    </row>
    <row r="136" spans="1:19" s="267" customFormat="1" ht="13">
      <c r="A136" s="420" t="s">
        <v>209</v>
      </c>
      <c r="B136" s="278">
        <v>3000</v>
      </c>
      <c r="C136" s="278">
        <v>3000</v>
      </c>
      <c r="D136" s="278">
        <v>3000</v>
      </c>
      <c r="E136" s="278">
        <v>3000</v>
      </c>
      <c r="F136" s="278">
        <v>3000</v>
      </c>
      <c r="G136" s="278">
        <v>3000</v>
      </c>
      <c r="H136" s="278">
        <v>3000</v>
      </c>
      <c r="I136" s="278">
        <v>3000</v>
      </c>
      <c r="J136" s="278">
        <v>3000</v>
      </c>
      <c r="K136" s="278">
        <v>3000</v>
      </c>
      <c r="L136" s="278">
        <v>3000</v>
      </c>
      <c r="M136" s="379">
        <v>3000</v>
      </c>
      <c r="N136" s="405">
        <f>SUM(B136:M136)</f>
        <v>36000</v>
      </c>
      <c r="O136" s="406">
        <v>36000</v>
      </c>
      <c r="P136" s="271"/>
      <c r="Q136" s="275"/>
      <c r="R136" s="398">
        <f t="shared" si="28"/>
        <v>0</v>
      </c>
    </row>
    <row r="137" spans="1:19" s="267" customFormat="1" ht="13">
      <c r="A137" s="420" t="s">
        <v>210</v>
      </c>
      <c r="B137" s="278">
        <v>0</v>
      </c>
      <c r="C137" s="271">
        <v>0</v>
      </c>
      <c r="D137" s="271">
        <v>0</v>
      </c>
      <c r="E137" s="271">
        <v>0</v>
      </c>
      <c r="F137" s="271">
        <v>0</v>
      </c>
      <c r="G137" s="271">
        <v>0</v>
      </c>
      <c r="H137" s="271">
        <v>0</v>
      </c>
      <c r="I137" s="271">
        <v>0</v>
      </c>
      <c r="J137" s="271">
        <f>'Payroll Worksheet'!AH23</f>
        <v>0</v>
      </c>
      <c r="K137" s="271">
        <f>'Payroll Worksheet'!AI23</f>
        <v>0</v>
      </c>
      <c r="L137" s="271">
        <f>'Payroll Worksheet'!AJ23</f>
        <v>0</v>
      </c>
      <c r="M137" s="379">
        <f>'Payroll Worksheet'!AK23</f>
        <v>0</v>
      </c>
      <c r="N137" s="405">
        <f t="shared" si="29"/>
        <v>0</v>
      </c>
      <c r="O137" s="406">
        <v>0</v>
      </c>
      <c r="P137" s="271">
        <v>891.46</v>
      </c>
      <c r="Q137" s="274">
        <f>N137-P137</f>
        <v>-891.46</v>
      </c>
      <c r="R137" s="398">
        <f t="shared" si="28"/>
        <v>0</v>
      </c>
    </row>
    <row r="138" spans="1:19" s="267" customFormat="1" ht="13">
      <c r="A138" s="420" t="s">
        <v>211</v>
      </c>
      <c r="B138" s="278">
        <v>0</v>
      </c>
      <c r="C138" s="271">
        <v>0</v>
      </c>
      <c r="D138" s="271">
        <v>0</v>
      </c>
      <c r="E138" s="271">
        <v>0</v>
      </c>
      <c r="F138" s="271">
        <v>0</v>
      </c>
      <c r="G138" s="271">
        <v>0</v>
      </c>
      <c r="H138" s="271">
        <v>0</v>
      </c>
      <c r="I138" s="271">
        <v>0</v>
      </c>
      <c r="J138" s="271">
        <f>'Payroll Worksheet'!AH21</f>
        <v>0</v>
      </c>
      <c r="K138" s="271">
        <f>'Payroll Worksheet'!AI21</f>
        <v>0</v>
      </c>
      <c r="L138" s="271">
        <f>'Payroll Worksheet'!AJ21</f>
        <v>0</v>
      </c>
      <c r="M138" s="379">
        <f>'Payroll Worksheet'!AK21</f>
        <v>0</v>
      </c>
      <c r="N138" s="405">
        <f t="shared" si="29"/>
        <v>0</v>
      </c>
      <c r="O138" s="406">
        <v>0</v>
      </c>
      <c r="P138" s="271">
        <v>11652.939999999999</v>
      </c>
      <c r="Q138" s="274">
        <f>N138-P138</f>
        <v>-11652.939999999999</v>
      </c>
      <c r="R138" s="398">
        <f t="shared" si="28"/>
        <v>0</v>
      </c>
    </row>
    <row r="139" spans="1:19" s="267" customFormat="1" ht="13">
      <c r="A139" s="420" t="s">
        <v>212</v>
      </c>
      <c r="B139" s="278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379"/>
      <c r="N139" s="405"/>
      <c r="O139" s="406"/>
      <c r="P139" s="271"/>
      <c r="Q139" s="274"/>
      <c r="R139" s="398"/>
    </row>
    <row r="140" spans="1:19" s="267" customFormat="1" ht="13">
      <c r="A140" s="420" t="s">
        <v>213</v>
      </c>
      <c r="B140" s="278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379"/>
      <c r="N140" s="405"/>
      <c r="O140" s="406"/>
      <c r="P140" s="271"/>
      <c r="Q140" s="274"/>
      <c r="R140" s="398"/>
    </row>
    <row r="141" spans="1:19" s="267" customFormat="1" ht="13">
      <c r="A141" s="437" t="s">
        <v>214</v>
      </c>
      <c r="B141" s="276">
        <f t="shared" ref="B141:H141" si="30">SUM(B125:B140)</f>
        <v>47700</v>
      </c>
      <c r="C141" s="276">
        <f t="shared" si="30"/>
        <v>47700</v>
      </c>
      <c r="D141" s="276">
        <f t="shared" si="30"/>
        <v>47700</v>
      </c>
      <c r="E141" s="276">
        <f t="shared" si="30"/>
        <v>54700</v>
      </c>
      <c r="F141" s="276">
        <f t="shared" si="30"/>
        <v>54700</v>
      </c>
      <c r="G141" s="276">
        <f t="shared" si="30"/>
        <v>54700</v>
      </c>
      <c r="H141" s="276">
        <f t="shared" si="30"/>
        <v>54700</v>
      </c>
      <c r="I141" s="276">
        <f>SUM(I125:I140)</f>
        <v>54700</v>
      </c>
      <c r="J141" s="276">
        <f>SUM(J125:J140)</f>
        <v>54700</v>
      </c>
      <c r="K141" s="276">
        <f>SUM(K125:K140)</f>
        <v>54700</v>
      </c>
      <c r="L141" s="276">
        <f>SUM(L125:L140)</f>
        <v>54700</v>
      </c>
      <c r="M141" s="380">
        <f>N128+SUM(M125:M140)</f>
        <v>54700</v>
      </c>
      <c r="N141" s="400">
        <f>SUM(B141:M141)</f>
        <v>635400</v>
      </c>
      <c r="O141" s="401">
        <f>SUM(O125:O140)</f>
        <v>656400</v>
      </c>
      <c r="P141" s="276">
        <v>435205.91333333345</v>
      </c>
      <c r="Q141" s="276">
        <f>N141-P141</f>
        <v>200194.08666666655</v>
      </c>
      <c r="R141" s="398">
        <f>O141-N141</f>
        <v>21000</v>
      </c>
      <c r="S141" s="273"/>
    </row>
    <row r="142" spans="1:19" s="267" customFormat="1" ht="6" customHeight="1" thickBot="1">
      <c r="A142" s="419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384"/>
      <c r="N142" s="396"/>
      <c r="O142" s="397"/>
      <c r="P142" s="133"/>
      <c r="Q142" s="133"/>
      <c r="R142" s="398"/>
    </row>
    <row r="143" spans="1:19" s="458" customFormat="1" ht="14" thickTop="1">
      <c r="A143" s="445" t="s">
        <v>107</v>
      </c>
      <c r="B143" s="453">
        <f t="shared" ref="B143" si="31">B60+B81+B91+B117+B122+B141</f>
        <v>94950</v>
      </c>
      <c r="C143" s="446">
        <f>C60+C81+C91+C117+C122+C141</f>
        <v>109250</v>
      </c>
      <c r="D143" s="446">
        <f t="shared" ref="D143:M143" si="32">D60+D81+D91+D117+D122+D141</f>
        <v>80850</v>
      </c>
      <c r="E143" s="446">
        <f t="shared" si="32"/>
        <v>95650</v>
      </c>
      <c r="F143" s="446">
        <f t="shared" si="32"/>
        <v>128050</v>
      </c>
      <c r="G143" s="446">
        <f t="shared" si="32"/>
        <v>94950</v>
      </c>
      <c r="H143" s="446">
        <f t="shared" si="32"/>
        <v>144550</v>
      </c>
      <c r="I143" s="446">
        <f t="shared" si="32"/>
        <v>109950</v>
      </c>
      <c r="J143" s="446">
        <f t="shared" si="32"/>
        <v>148150</v>
      </c>
      <c r="K143" s="446">
        <f t="shared" si="32"/>
        <v>162450</v>
      </c>
      <c r="L143" s="446">
        <f t="shared" si="32"/>
        <v>102150</v>
      </c>
      <c r="M143" s="447">
        <f t="shared" si="32"/>
        <v>108150</v>
      </c>
      <c r="N143" s="454">
        <f>SUM(B143:M143)</f>
        <v>1379100</v>
      </c>
      <c r="O143" s="455">
        <f>O60+O81+O91+O117+O122+O141</f>
        <v>1432200</v>
      </c>
      <c r="P143" s="453">
        <v>791196.94333333336</v>
      </c>
      <c r="Q143" s="456">
        <f>N143-P143</f>
        <v>587903.05666666664</v>
      </c>
      <c r="R143" s="457">
        <f>O143-N143</f>
        <v>53100</v>
      </c>
    </row>
    <row r="144" spans="1:19" s="368" customFormat="1" ht="13" thickBot="1">
      <c r="A144" s="419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386"/>
      <c r="N144" s="396"/>
      <c r="O144" s="397"/>
      <c r="P144" s="285"/>
      <c r="Q144" s="285"/>
      <c r="R144" s="398"/>
    </row>
    <row r="145" spans="1:18" s="466" customFormat="1" ht="14" thickBot="1">
      <c r="A145" s="459" t="s">
        <v>108</v>
      </c>
      <c r="B145" s="460">
        <f t="shared" ref="B145:O145" si="33">B48-B143</f>
        <v>-1950</v>
      </c>
      <c r="C145" s="460">
        <f t="shared" si="33"/>
        <v>-23550</v>
      </c>
      <c r="D145" s="460">
        <f t="shared" si="33"/>
        <v>-2200</v>
      </c>
      <c r="E145" s="460">
        <f t="shared" si="33"/>
        <v>-2050</v>
      </c>
      <c r="F145" s="460">
        <f t="shared" si="33"/>
        <v>11050</v>
      </c>
      <c r="G145" s="460">
        <f t="shared" si="33"/>
        <v>56300</v>
      </c>
      <c r="H145" s="460">
        <f t="shared" si="33"/>
        <v>84250</v>
      </c>
      <c r="I145" s="460">
        <f t="shared" si="33"/>
        <v>63050</v>
      </c>
      <c r="J145" s="460">
        <f t="shared" si="33"/>
        <v>22650</v>
      </c>
      <c r="K145" s="460">
        <f t="shared" si="33"/>
        <v>189850</v>
      </c>
      <c r="L145" s="460">
        <f t="shared" si="33"/>
        <v>93250</v>
      </c>
      <c r="M145" s="461">
        <f t="shared" si="33"/>
        <v>139350</v>
      </c>
      <c r="N145" s="462">
        <f t="shared" si="33"/>
        <v>630000</v>
      </c>
      <c r="O145" s="463">
        <f t="shared" si="33"/>
        <v>900700</v>
      </c>
      <c r="P145" s="460">
        <v>388579.43666666653</v>
      </c>
      <c r="Q145" s="464"/>
      <c r="R145" s="465">
        <f>O145-N145</f>
        <v>270700</v>
      </c>
    </row>
    <row r="146" spans="1:18" s="267" customFormat="1" ht="12">
      <c r="A146" s="420"/>
      <c r="B146" s="413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387"/>
      <c r="N146" s="396"/>
      <c r="O146" s="397"/>
      <c r="P146" s="133"/>
      <c r="Q146" s="133"/>
      <c r="R146" s="394"/>
    </row>
    <row r="147" spans="1:18" s="285" customFormat="1" ht="12">
      <c r="A147" s="427" t="s">
        <v>215</v>
      </c>
      <c r="B147" s="287">
        <v>160000</v>
      </c>
      <c r="C147" s="275">
        <f t="shared" ref="C147:M147" si="34">B149</f>
        <v>158050</v>
      </c>
      <c r="D147" s="371">
        <f t="shared" si="34"/>
        <v>134500</v>
      </c>
      <c r="E147" s="275">
        <f t="shared" si="34"/>
        <v>132300</v>
      </c>
      <c r="F147" s="275">
        <f t="shared" si="34"/>
        <v>130250</v>
      </c>
      <c r="G147" s="275">
        <f t="shared" si="34"/>
        <v>141300</v>
      </c>
      <c r="H147" s="275">
        <f t="shared" si="34"/>
        <v>197600</v>
      </c>
      <c r="I147" s="275">
        <f t="shared" si="34"/>
        <v>281850</v>
      </c>
      <c r="J147" s="275">
        <f t="shared" si="34"/>
        <v>344900</v>
      </c>
      <c r="K147" s="275">
        <f t="shared" si="34"/>
        <v>367550</v>
      </c>
      <c r="L147" s="275">
        <f t="shared" si="34"/>
        <v>557400</v>
      </c>
      <c r="M147" s="383">
        <f t="shared" si="34"/>
        <v>650650</v>
      </c>
      <c r="N147" s="396"/>
      <c r="O147" s="397"/>
      <c r="P147" s="275" t="e">
        <f>P133+#REF!+P73</f>
        <v>#REF!</v>
      </c>
      <c r="Q147" s="275"/>
      <c r="R147" s="394"/>
    </row>
    <row r="148" spans="1:18" s="267" customFormat="1" ht="12">
      <c r="A148" s="421"/>
      <c r="B148" s="414"/>
      <c r="C148" s="273"/>
      <c r="D148" s="371"/>
      <c r="E148" s="273"/>
      <c r="F148" s="273"/>
      <c r="G148" s="273"/>
      <c r="H148" s="273"/>
      <c r="I148" s="273"/>
      <c r="J148" s="273"/>
      <c r="K148" s="273"/>
      <c r="L148" s="273"/>
      <c r="M148" s="385"/>
      <c r="N148" s="396"/>
      <c r="O148" s="397"/>
      <c r="P148" s="133"/>
      <c r="Q148" s="133"/>
      <c r="R148" s="394"/>
    </row>
    <row r="149" spans="1:18" s="376" customFormat="1" ht="12">
      <c r="A149" s="428" t="s">
        <v>216</v>
      </c>
      <c r="B149" s="415">
        <f>B145+B147</f>
        <v>158050</v>
      </c>
      <c r="C149" s="374">
        <f t="shared" ref="C149:M149" si="35">C145+C147</f>
        <v>134500</v>
      </c>
      <c r="D149" s="375">
        <f t="shared" si="35"/>
        <v>132300</v>
      </c>
      <c r="E149" s="374">
        <f t="shared" si="35"/>
        <v>130250</v>
      </c>
      <c r="F149" s="374">
        <f t="shared" si="35"/>
        <v>141300</v>
      </c>
      <c r="G149" s="374">
        <f t="shared" si="35"/>
        <v>197600</v>
      </c>
      <c r="H149" s="374">
        <f t="shared" si="35"/>
        <v>281850</v>
      </c>
      <c r="I149" s="374">
        <f t="shared" si="35"/>
        <v>344900</v>
      </c>
      <c r="J149" s="374">
        <f t="shared" si="35"/>
        <v>367550</v>
      </c>
      <c r="K149" s="374">
        <f t="shared" si="35"/>
        <v>557400</v>
      </c>
      <c r="L149" s="374">
        <f t="shared" si="35"/>
        <v>650650</v>
      </c>
      <c r="M149" s="390">
        <f t="shared" si="35"/>
        <v>790000</v>
      </c>
      <c r="N149" s="396"/>
      <c r="O149" s="397"/>
      <c r="P149" s="373"/>
      <c r="Q149" s="373"/>
      <c r="R149" s="394"/>
    </row>
    <row r="150" spans="1:18" s="267" customFormat="1" ht="26">
      <c r="A150" s="419" t="s">
        <v>217</v>
      </c>
      <c r="B150" s="416"/>
      <c r="C150" s="269"/>
      <c r="D150" s="371"/>
      <c r="E150" s="269"/>
      <c r="F150" s="269"/>
      <c r="G150" s="269"/>
      <c r="H150" s="269"/>
      <c r="I150" s="269"/>
      <c r="J150" s="269"/>
      <c r="K150" s="269"/>
      <c r="L150" s="269"/>
      <c r="M150" s="391"/>
      <c r="N150" s="395"/>
      <c r="O150" s="411"/>
      <c r="P150" s="133"/>
      <c r="Q150" s="133"/>
      <c r="R150" s="394"/>
    </row>
    <row r="151" spans="1:18">
      <c r="A151" s="417"/>
      <c r="B151" s="294"/>
      <c r="C151" s="294"/>
      <c r="D151" s="371"/>
      <c r="E151" s="301"/>
      <c r="F151" s="301"/>
      <c r="G151" s="301"/>
      <c r="H151" s="301"/>
      <c r="I151" s="301"/>
      <c r="J151" s="301"/>
      <c r="K151" s="301"/>
      <c r="L151" s="301"/>
      <c r="M151" s="301"/>
      <c r="N151" s="412"/>
    </row>
    <row r="152" spans="1:18">
      <c r="A152" s="417"/>
      <c r="B152" s="294"/>
      <c r="C152" s="294"/>
      <c r="D152" s="371"/>
      <c r="E152" s="294"/>
      <c r="F152" s="294"/>
      <c r="G152" s="294"/>
      <c r="H152" s="294"/>
      <c r="I152" s="294"/>
      <c r="J152" s="294"/>
      <c r="K152" s="294"/>
      <c r="L152" s="294"/>
      <c r="M152" s="294"/>
    </row>
    <row r="153" spans="1:18">
      <c r="A153" s="419"/>
      <c r="B153" s="294"/>
      <c r="C153" s="294"/>
      <c r="D153" s="371"/>
      <c r="E153" s="294"/>
      <c r="F153" s="372"/>
      <c r="G153" s="294"/>
      <c r="H153" s="294"/>
      <c r="I153" s="294"/>
      <c r="J153" s="294"/>
      <c r="K153" s="294"/>
      <c r="L153" s="294"/>
      <c r="M153" s="294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AD34-D5DD-9847-9780-9555B4B89E63}">
  <dimension ref="A1:AA143"/>
  <sheetViews>
    <sheetView zoomScale="150" zoomScaleNormal="150" zoomScalePageLayoutView="150" workbookViewId="0">
      <pane xSplit="1" ySplit="3" topLeftCell="B15" activePane="bottomRight" state="frozen"/>
      <selection pane="topRight" activeCell="AW1" sqref="AW1"/>
      <selection pane="bottomLeft" activeCell="A4" sqref="A4"/>
      <selection pane="bottomRight" activeCell="A35" sqref="A35:XFD35"/>
    </sheetView>
  </sheetViews>
  <sheetFormatPr baseColWidth="10" defaultColWidth="8.83203125" defaultRowHeight="15"/>
  <cols>
    <col min="1" max="1" width="33.6640625" style="615" bestFit="1" customWidth="1"/>
    <col min="2" max="2" width="10.1640625" style="541" bestFit="1" customWidth="1"/>
    <col min="3" max="12" width="10.1640625" style="541" customWidth="1"/>
    <col min="13" max="13" width="10.1640625" style="121" bestFit="1" customWidth="1"/>
    <col min="14" max="14" width="13.83203125" style="556" bestFit="1" customWidth="1"/>
    <col min="15" max="15" width="13.83203125" style="393" bestFit="1" customWidth="1"/>
    <col min="16" max="17" width="11.1640625" style="133" hidden="1" customWidth="1"/>
    <col min="18" max="18" width="16.6640625" style="617" customWidth="1"/>
    <col min="19" max="19" width="17.33203125" style="531" customWidth="1"/>
    <col min="20" max="20" width="17.6640625" style="512" customWidth="1"/>
    <col min="21" max="16384" width="8.83203125" style="121"/>
  </cols>
  <sheetData>
    <row r="1" spans="1:20" ht="26">
      <c r="A1" s="592"/>
      <c r="B1" s="377"/>
      <c r="C1" s="377"/>
      <c r="D1" s="377"/>
      <c r="E1" s="377"/>
      <c r="F1" s="377"/>
      <c r="G1" s="534" t="s">
        <v>112</v>
      </c>
      <c r="H1" s="377"/>
      <c r="I1" s="377"/>
      <c r="J1" s="377"/>
      <c r="K1" s="377"/>
      <c r="L1" s="377"/>
      <c r="M1" s="294"/>
      <c r="T1" s="501"/>
    </row>
    <row r="2" spans="1:20" ht="23" customHeight="1">
      <c r="A2" s="593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297"/>
      <c r="T2" s="501"/>
    </row>
    <row r="3" spans="1:20" s="436" customFormat="1" ht="16" thickBot="1">
      <c r="A3" s="59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435">
        <v>44531</v>
      </c>
      <c r="N3" s="557" t="s">
        <v>112</v>
      </c>
      <c r="O3" s="431" t="s">
        <v>113</v>
      </c>
      <c r="P3" s="432" t="s">
        <v>114</v>
      </c>
      <c r="Q3" s="432" t="s">
        <v>115</v>
      </c>
      <c r="R3" s="618" t="s">
        <v>228</v>
      </c>
      <c r="S3" s="532" t="s">
        <v>229</v>
      </c>
      <c r="T3" s="490"/>
    </row>
    <row r="4" spans="1:20" s="267" customFormat="1" ht="23" customHeight="1">
      <c r="A4" s="595" t="s">
        <v>218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387"/>
      <c r="N4" s="470"/>
      <c r="O4" s="397"/>
      <c r="P4" s="133"/>
      <c r="Q4" s="133"/>
      <c r="R4" s="617"/>
      <c r="S4" s="531"/>
      <c r="T4" s="500"/>
    </row>
    <row r="5" spans="1:20" s="267" customFormat="1" ht="13">
      <c r="A5" s="596" t="s">
        <v>10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379"/>
      <c r="N5" s="470"/>
      <c r="O5" s="397"/>
      <c r="P5" s="271"/>
      <c r="Q5" s="133"/>
      <c r="R5" s="617"/>
      <c r="S5" s="531"/>
      <c r="T5" s="500"/>
    </row>
    <row r="6" spans="1:20" s="267" customFormat="1" ht="13">
      <c r="A6" s="597" t="s">
        <v>11</v>
      </c>
      <c r="B6" s="278">
        <f>0</f>
        <v>0</v>
      </c>
      <c r="C6" s="278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379">
        <f>0</f>
        <v>0</v>
      </c>
      <c r="N6" s="470">
        <f t="shared" ref="N6:N11" si="0">SUM(B6:M6)</f>
        <v>0</v>
      </c>
      <c r="O6" s="397">
        <v>0</v>
      </c>
      <c r="P6" s="271">
        <v>0</v>
      </c>
      <c r="Q6" s="274">
        <f>N6-P6</f>
        <v>0</v>
      </c>
      <c r="R6" s="619">
        <v>0</v>
      </c>
      <c r="S6" s="514">
        <f>O6-R6</f>
        <v>0</v>
      </c>
      <c r="T6" s="500"/>
    </row>
    <row r="7" spans="1:20" s="267" customFormat="1" ht="13">
      <c r="A7" s="597" t="s">
        <v>118</v>
      </c>
      <c r="B7" s="278">
        <v>600</v>
      </c>
      <c r="C7" s="278">
        <v>600</v>
      </c>
      <c r="D7" s="278">
        <v>600</v>
      </c>
      <c r="E7" s="278">
        <v>600</v>
      </c>
      <c r="F7" s="271">
        <v>10000</v>
      </c>
      <c r="G7" s="271">
        <v>11200</v>
      </c>
      <c r="H7" s="271">
        <v>1100</v>
      </c>
      <c r="I7" s="271">
        <v>600</v>
      </c>
      <c r="J7" s="271">
        <v>600</v>
      </c>
      <c r="K7" s="271">
        <v>1100</v>
      </c>
      <c r="L7" s="271">
        <v>10000</v>
      </c>
      <c r="M7" s="379">
        <v>10000</v>
      </c>
      <c r="N7" s="470">
        <f t="shared" si="0"/>
        <v>47000</v>
      </c>
      <c r="O7" s="397">
        <v>47000</v>
      </c>
      <c r="P7" s="271"/>
      <c r="Q7" s="274">
        <f t="shared" ref="Q7:Q23" si="1">N7-P7</f>
        <v>47000</v>
      </c>
      <c r="R7" s="619">
        <v>47000</v>
      </c>
      <c r="S7" s="514">
        <f t="shared" ref="S7:S70" si="2">O7-R7</f>
        <v>0</v>
      </c>
      <c r="T7" s="500"/>
    </row>
    <row r="8" spans="1:20" s="267" customFormat="1" ht="13">
      <c r="A8" s="597" t="s">
        <v>13</v>
      </c>
      <c r="B8" s="278">
        <v>0</v>
      </c>
      <c r="C8" s="278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379">
        <v>0</v>
      </c>
      <c r="N8" s="470">
        <f t="shared" si="0"/>
        <v>0</v>
      </c>
      <c r="O8" s="397">
        <v>0</v>
      </c>
      <c r="P8" s="271">
        <v>5000</v>
      </c>
      <c r="Q8" s="274">
        <f t="shared" si="1"/>
        <v>-5000</v>
      </c>
      <c r="R8" s="619">
        <v>0</v>
      </c>
      <c r="S8" s="514">
        <f t="shared" si="2"/>
        <v>0</v>
      </c>
      <c r="T8" s="500"/>
    </row>
    <row r="9" spans="1:20" s="267" customFormat="1" ht="12">
      <c r="A9" s="598" t="s">
        <v>119</v>
      </c>
      <c r="B9" s="278">
        <v>6250</v>
      </c>
      <c r="C9" s="278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379">
        <v>3750</v>
      </c>
      <c r="N9" s="470">
        <f t="shared" si="0"/>
        <v>40000</v>
      </c>
      <c r="O9" s="399">
        <v>40000</v>
      </c>
      <c r="P9" s="271">
        <v>77000</v>
      </c>
      <c r="Q9" s="274">
        <f t="shared" si="1"/>
        <v>-37000</v>
      </c>
      <c r="R9" s="620">
        <v>40000</v>
      </c>
      <c r="S9" s="514">
        <f t="shared" si="2"/>
        <v>0</v>
      </c>
      <c r="T9" s="500"/>
    </row>
    <row r="10" spans="1:20" s="267" customFormat="1" ht="15" customHeight="1">
      <c r="A10" s="597" t="s">
        <v>121</v>
      </c>
      <c r="B10" s="278">
        <v>10000</v>
      </c>
      <c r="C10" s="278">
        <v>4700</v>
      </c>
      <c r="D10" s="271">
        <v>4400</v>
      </c>
      <c r="E10" s="271">
        <v>6600</v>
      </c>
      <c r="F10" s="271">
        <v>8700</v>
      </c>
      <c r="G10" s="271">
        <v>7900</v>
      </c>
      <c r="H10" s="271">
        <v>5500</v>
      </c>
      <c r="I10" s="271">
        <v>35000</v>
      </c>
      <c r="J10" s="271">
        <v>3800</v>
      </c>
      <c r="K10" s="271">
        <v>100000</v>
      </c>
      <c r="L10" s="271">
        <v>15000</v>
      </c>
      <c r="M10" s="379">
        <v>35000</v>
      </c>
      <c r="N10" s="470">
        <f t="shared" si="0"/>
        <v>236600</v>
      </c>
      <c r="O10" s="397">
        <v>236600</v>
      </c>
      <c r="P10" s="271">
        <v>697365.77</v>
      </c>
      <c r="Q10" s="274">
        <f t="shared" si="1"/>
        <v>-460765.77</v>
      </c>
      <c r="R10" s="619">
        <v>236600</v>
      </c>
      <c r="S10" s="514">
        <f t="shared" si="2"/>
        <v>0</v>
      </c>
      <c r="T10" s="500"/>
    </row>
    <row r="11" spans="1:20" s="267" customFormat="1" ht="13">
      <c r="A11" s="596" t="s">
        <v>19</v>
      </c>
      <c r="B11" s="469">
        <f t="shared" ref="B11:M11" si="3">SUM(B6:B10)</f>
        <v>16850</v>
      </c>
      <c r="C11" s="469">
        <f t="shared" si="3"/>
        <v>6550</v>
      </c>
      <c r="D11" s="469">
        <f t="shared" si="3"/>
        <v>7500</v>
      </c>
      <c r="E11" s="469">
        <f t="shared" si="3"/>
        <v>8450</v>
      </c>
      <c r="F11" s="469">
        <f t="shared" si="3"/>
        <v>19950</v>
      </c>
      <c r="G11" s="469">
        <f t="shared" si="3"/>
        <v>26600</v>
      </c>
      <c r="H11" s="469">
        <f t="shared" si="3"/>
        <v>7850</v>
      </c>
      <c r="I11" s="469">
        <f t="shared" si="3"/>
        <v>36850</v>
      </c>
      <c r="J11" s="469">
        <f t="shared" si="3"/>
        <v>15650</v>
      </c>
      <c r="K11" s="469">
        <f t="shared" si="3"/>
        <v>102350</v>
      </c>
      <c r="L11" s="469">
        <f t="shared" si="3"/>
        <v>26250</v>
      </c>
      <c r="M11" s="469">
        <f t="shared" si="3"/>
        <v>48750</v>
      </c>
      <c r="N11" s="584">
        <f t="shared" si="0"/>
        <v>323600</v>
      </c>
      <c r="O11" s="586">
        <f>SUM(O6:O10)</f>
        <v>323600</v>
      </c>
      <c r="P11" s="276">
        <v>779365.77</v>
      </c>
      <c r="Q11" s="275">
        <f t="shared" si="1"/>
        <v>-455765.77</v>
      </c>
      <c r="R11" s="621">
        <f>SUM(R6:R10)</f>
        <v>323600</v>
      </c>
      <c r="S11" s="514">
        <f t="shared" si="2"/>
        <v>0</v>
      </c>
      <c r="T11" s="500"/>
    </row>
    <row r="12" spans="1:20" s="267" customFormat="1" ht="14" customHeight="1">
      <c r="A12" s="597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384"/>
      <c r="N12" s="470"/>
      <c r="O12" s="397"/>
      <c r="P12" s="133"/>
      <c r="Q12" s="274"/>
      <c r="R12" s="622"/>
      <c r="S12" s="514">
        <f t="shared" si="2"/>
        <v>0</v>
      </c>
      <c r="T12" s="500"/>
    </row>
    <row r="13" spans="1:20" s="267" customFormat="1" ht="13">
      <c r="A13" s="596" t="s">
        <v>122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79"/>
      <c r="N13" s="470"/>
      <c r="O13" s="397"/>
      <c r="P13" s="271"/>
      <c r="Q13" s="274"/>
      <c r="R13" s="622"/>
      <c r="S13" s="514">
        <f t="shared" si="2"/>
        <v>0</v>
      </c>
      <c r="T13" s="500"/>
    </row>
    <row r="14" spans="1:20" s="527" customFormat="1" ht="13">
      <c r="A14" s="601" t="s">
        <v>21</v>
      </c>
      <c r="B14" s="520">
        <v>0</v>
      </c>
      <c r="C14" s="520">
        <v>0</v>
      </c>
      <c r="D14" s="520">
        <v>0</v>
      </c>
      <c r="E14" s="520">
        <v>0</v>
      </c>
      <c r="F14" s="520">
        <v>17000</v>
      </c>
      <c r="G14" s="520">
        <v>17000</v>
      </c>
      <c r="H14" s="520">
        <v>17000</v>
      </c>
      <c r="I14" s="520">
        <v>17000</v>
      </c>
      <c r="J14" s="520">
        <v>17000</v>
      </c>
      <c r="K14" s="520">
        <v>17000</v>
      </c>
      <c r="L14" s="520">
        <v>0</v>
      </c>
      <c r="M14" s="522">
        <f>0</f>
        <v>0</v>
      </c>
      <c r="N14" s="559">
        <f>SUM(B14:M14)</f>
        <v>102000</v>
      </c>
      <c r="O14" s="523">
        <v>102000</v>
      </c>
      <c r="P14" s="521"/>
      <c r="Q14" s="524"/>
      <c r="R14" s="623">
        <v>102000</v>
      </c>
      <c r="S14" s="514">
        <f t="shared" si="2"/>
        <v>0</v>
      </c>
      <c r="T14" s="526"/>
    </row>
    <row r="15" spans="1:20" s="267" customFormat="1" ht="13">
      <c r="A15" s="596" t="s">
        <v>124</v>
      </c>
      <c r="B15" s="278">
        <v>0</v>
      </c>
      <c r="C15" s="278">
        <f>0</f>
        <v>0</v>
      </c>
      <c r="D15" s="278">
        <v>0</v>
      </c>
      <c r="E15" s="278">
        <v>0</v>
      </c>
      <c r="F15" s="278">
        <v>10000</v>
      </c>
      <c r="G15" s="278">
        <f>0</f>
        <v>0</v>
      </c>
      <c r="H15" s="278">
        <v>10000</v>
      </c>
      <c r="I15" s="278">
        <f>0</f>
        <v>0</v>
      </c>
      <c r="J15" s="278">
        <v>10000</v>
      </c>
      <c r="K15" s="278">
        <f>0</f>
        <v>0</v>
      </c>
      <c r="L15" s="278">
        <f>0</f>
        <v>0</v>
      </c>
      <c r="M15" s="379">
        <f>0</f>
        <v>0</v>
      </c>
      <c r="N15" s="470">
        <f>SUM(B15:M15)</f>
        <v>30000</v>
      </c>
      <c r="O15" s="397">
        <v>30000</v>
      </c>
      <c r="P15" s="271"/>
      <c r="Q15" s="274"/>
      <c r="R15" s="619">
        <v>30000</v>
      </c>
      <c r="S15" s="514">
        <f t="shared" si="2"/>
        <v>0</v>
      </c>
      <c r="T15" s="500"/>
    </row>
    <row r="16" spans="1:20" s="267" customFormat="1" ht="13">
      <c r="A16" s="597" t="s">
        <v>25</v>
      </c>
      <c r="B16" s="278">
        <v>0</v>
      </c>
      <c r="C16" s="278">
        <f>0</f>
        <v>0</v>
      </c>
      <c r="D16" s="278">
        <f>0</f>
        <v>0</v>
      </c>
      <c r="E16" s="278">
        <f>0</f>
        <v>0</v>
      </c>
      <c r="F16" s="278">
        <f>0</f>
        <v>0</v>
      </c>
      <c r="G16" s="278">
        <f>0</f>
        <v>0</v>
      </c>
      <c r="H16" s="278">
        <f>0</f>
        <v>0</v>
      </c>
      <c r="I16" s="278">
        <f>0</f>
        <v>0</v>
      </c>
      <c r="J16" s="278">
        <f>0</f>
        <v>0</v>
      </c>
      <c r="K16" s="278">
        <f>0</f>
        <v>0</v>
      </c>
      <c r="L16" s="278">
        <f>0</f>
        <v>0</v>
      </c>
      <c r="M16" s="278">
        <f>0</f>
        <v>0</v>
      </c>
      <c r="N16" s="566">
        <f>SUM(B16:M16)</f>
        <v>0</v>
      </c>
      <c r="O16" s="399">
        <v>0</v>
      </c>
      <c r="P16" s="271"/>
      <c r="Q16" s="274"/>
      <c r="R16" s="619">
        <v>0</v>
      </c>
      <c r="S16" s="514">
        <f t="shared" si="2"/>
        <v>0</v>
      </c>
      <c r="T16" s="500"/>
    </row>
    <row r="17" spans="1:20" s="368" customFormat="1" ht="13">
      <c r="A17" s="596" t="s">
        <v>125</v>
      </c>
      <c r="B17" s="469">
        <f>SUM(B14:B16)</f>
        <v>0</v>
      </c>
      <c r="C17" s="469">
        <f t="shared" ref="C17:M17" si="4">SUM(C14:C16)</f>
        <v>0</v>
      </c>
      <c r="D17" s="469">
        <f t="shared" si="4"/>
        <v>0</v>
      </c>
      <c r="E17" s="469">
        <f t="shared" si="4"/>
        <v>0</v>
      </c>
      <c r="F17" s="469">
        <f t="shared" si="4"/>
        <v>27000</v>
      </c>
      <c r="G17" s="469">
        <f t="shared" si="4"/>
        <v>17000</v>
      </c>
      <c r="H17" s="469">
        <f t="shared" si="4"/>
        <v>27000</v>
      </c>
      <c r="I17" s="469">
        <f t="shared" si="4"/>
        <v>17000</v>
      </c>
      <c r="J17" s="469">
        <f t="shared" si="4"/>
        <v>27000</v>
      </c>
      <c r="K17" s="469">
        <f t="shared" si="4"/>
        <v>17000</v>
      </c>
      <c r="L17" s="469">
        <f t="shared" si="4"/>
        <v>0</v>
      </c>
      <c r="M17" s="581">
        <f t="shared" si="4"/>
        <v>0</v>
      </c>
      <c r="N17" s="582">
        <f>SUM(B17:M17)</f>
        <v>132000</v>
      </c>
      <c r="O17" s="583">
        <f>SUM(O14:O16)</f>
        <v>132000</v>
      </c>
      <c r="P17" s="276"/>
      <c r="Q17" s="276"/>
      <c r="R17" s="621">
        <f>SUM(R14:R16)</f>
        <v>132000</v>
      </c>
      <c r="S17" s="514">
        <f t="shared" si="2"/>
        <v>0</v>
      </c>
      <c r="T17" s="502"/>
    </row>
    <row r="18" spans="1:20" s="267" customFormat="1" ht="6" customHeight="1">
      <c r="A18" s="597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384"/>
      <c r="N18" s="470"/>
      <c r="O18" s="397"/>
      <c r="P18" s="272"/>
      <c r="Q18" s="274"/>
      <c r="R18" s="622"/>
      <c r="S18" s="514">
        <f t="shared" si="2"/>
        <v>0</v>
      </c>
      <c r="T18" s="500"/>
    </row>
    <row r="19" spans="1:20" s="267" customFormat="1" ht="13">
      <c r="A19" s="596" t="s">
        <v>27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379"/>
      <c r="N19" s="470"/>
      <c r="O19" s="397"/>
      <c r="P19" s="271"/>
      <c r="Q19" s="274"/>
      <c r="R19" s="622"/>
      <c r="S19" s="514">
        <f t="shared" si="2"/>
        <v>0</v>
      </c>
      <c r="T19" s="500"/>
    </row>
    <row r="20" spans="1:20" s="267" customFormat="1" ht="13">
      <c r="A20" s="597" t="s">
        <v>126</v>
      </c>
      <c r="B20" s="278">
        <f>0</f>
        <v>0</v>
      </c>
      <c r="C20" s="278">
        <f>0</f>
        <v>0</v>
      </c>
      <c r="D20" s="278">
        <v>0</v>
      </c>
      <c r="E20" s="278">
        <v>0</v>
      </c>
      <c r="F20" s="278">
        <f>0</f>
        <v>0</v>
      </c>
      <c r="G20" s="278">
        <f>0</f>
        <v>0</v>
      </c>
      <c r="H20" s="278">
        <f>0</f>
        <v>0</v>
      </c>
      <c r="I20" s="278">
        <f>0</f>
        <v>0</v>
      </c>
      <c r="J20" s="278">
        <f>0</f>
        <v>0</v>
      </c>
      <c r="K20" s="278">
        <f>0</f>
        <v>0</v>
      </c>
      <c r="L20" s="278">
        <f>0</f>
        <v>0</v>
      </c>
      <c r="M20" s="379">
        <f>0</f>
        <v>0</v>
      </c>
      <c r="N20" s="470">
        <f>SUM(B20:M20)</f>
        <v>0</v>
      </c>
      <c r="O20" s="397">
        <v>0</v>
      </c>
      <c r="P20" s="271">
        <v>-651.64999999999986</v>
      </c>
      <c r="Q20" s="274">
        <f t="shared" si="1"/>
        <v>651.64999999999986</v>
      </c>
      <c r="R20" s="619">
        <v>0</v>
      </c>
      <c r="S20" s="514">
        <f t="shared" si="2"/>
        <v>0</v>
      </c>
      <c r="T20" s="500"/>
    </row>
    <row r="21" spans="1:20" s="267" customFormat="1" ht="13">
      <c r="A21" s="597" t="s">
        <v>127</v>
      </c>
      <c r="B21" s="286">
        <v>350</v>
      </c>
      <c r="C21" s="286">
        <v>350</v>
      </c>
      <c r="D21" s="286">
        <v>350</v>
      </c>
      <c r="E21" s="286">
        <v>350</v>
      </c>
      <c r="F21" s="286">
        <v>350</v>
      </c>
      <c r="G21" s="286">
        <v>350</v>
      </c>
      <c r="H21" s="286">
        <v>350</v>
      </c>
      <c r="I21" s="286">
        <v>350</v>
      </c>
      <c r="J21" s="286">
        <v>350</v>
      </c>
      <c r="K21" s="286">
        <v>350</v>
      </c>
      <c r="L21" s="286">
        <v>350</v>
      </c>
      <c r="M21" s="378">
        <v>350</v>
      </c>
      <c r="N21" s="470">
        <f>SUM(B21:M21)</f>
        <v>4200</v>
      </c>
      <c r="O21" s="397">
        <v>4200</v>
      </c>
      <c r="P21" s="274"/>
      <c r="Q21" s="274">
        <f t="shared" si="1"/>
        <v>4200</v>
      </c>
      <c r="R21" s="619">
        <v>4200</v>
      </c>
      <c r="S21" s="514">
        <f t="shared" si="2"/>
        <v>0</v>
      </c>
      <c r="T21" s="500"/>
    </row>
    <row r="22" spans="1:20" s="267" customFormat="1" ht="13">
      <c r="A22" s="597" t="s">
        <v>128</v>
      </c>
      <c r="B22" s="278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385"/>
      <c r="N22" s="470">
        <f>SUM(B22:M22)</f>
        <v>0</v>
      </c>
      <c r="O22" s="397">
        <v>0</v>
      </c>
      <c r="P22" s="274"/>
      <c r="Q22" s="274">
        <f t="shared" si="1"/>
        <v>0</v>
      </c>
      <c r="R22" s="619">
        <v>0</v>
      </c>
      <c r="S22" s="514">
        <f t="shared" si="2"/>
        <v>0</v>
      </c>
      <c r="T22" s="500"/>
    </row>
    <row r="23" spans="1:20" s="267" customFormat="1" ht="13">
      <c r="A23" s="599" t="s">
        <v>29</v>
      </c>
      <c r="B23" s="469">
        <f>SUM(B19:B22)</f>
        <v>350</v>
      </c>
      <c r="C23" s="469">
        <f>SUM(C20:C22)</f>
        <v>350</v>
      </c>
      <c r="D23" s="469">
        <f t="shared" ref="D23:M23" si="5">SUM(D20:D22)</f>
        <v>350</v>
      </c>
      <c r="E23" s="469">
        <f t="shared" si="5"/>
        <v>350</v>
      </c>
      <c r="F23" s="469">
        <f t="shared" si="5"/>
        <v>350</v>
      </c>
      <c r="G23" s="469">
        <f t="shared" si="5"/>
        <v>350</v>
      </c>
      <c r="H23" s="469">
        <f>SUM(H19:H22)</f>
        <v>350</v>
      </c>
      <c r="I23" s="469">
        <f t="shared" si="5"/>
        <v>350</v>
      </c>
      <c r="J23" s="469">
        <f t="shared" si="5"/>
        <v>350</v>
      </c>
      <c r="K23" s="469">
        <f t="shared" si="5"/>
        <v>350</v>
      </c>
      <c r="L23" s="469">
        <f t="shared" si="5"/>
        <v>350</v>
      </c>
      <c r="M23" s="469">
        <f t="shared" si="5"/>
        <v>350</v>
      </c>
      <c r="N23" s="584">
        <f>SUM(B23:M23)</f>
        <v>4200</v>
      </c>
      <c r="O23" s="586">
        <f>SUM(O20:O22)</f>
        <v>4200</v>
      </c>
      <c r="P23" s="276">
        <v>-651.64999999999986</v>
      </c>
      <c r="Q23" s="276">
        <f t="shared" si="1"/>
        <v>4851.6499999999996</v>
      </c>
      <c r="R23" s="621">
        <f>SUM(R20:R22)</f>
        <v>4200</v>
      </c>
      <c r="S23" s="514">
        <f t="shared" si="2"/>
        <v>0</v>
      </c>
      <c r="T23" s="500"/>
    </row>
    <row r="24" spans="1:20" s="267" customFormat="1" ht="6" customHeight="1">
      <c r="A24" s="597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384"/>
      <c r="N24" s="470"/>
      <c r="O24" s="397"/>
      <c r="P24" s="133"/>
      <c r="Q24" s="133"/>
      <c r="R24" s="617"/>
      <c r="S24" s="514">
        <f t="shared" si="2"/>
        <v>0</v>
      </c>
      <c r="T24" s="500"/>
    </row>
    <row r="25" spans="1:20" s="267" customFormat="1" ht="13">
      <c r="A25" s="596" t="s">
        <v>30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379"/>
      <c r="N25" s="470"/>
      <c r="O25" s="397"/>
      <c r="P25" s="133"/>
      <c r="Q25" s="133"/>
      <c r="R25" s="617"/>
      <c r="S25" s="514">
        <f t="shared" si="2"/>
        <v>0</v>
      </c>
      <c r="T25" s="500"/>
    </row>
    <row r="26" spans="1:20" s="267" customFormat="1" ht="13">
      <c r="A26" s="597" t="s">
        <v>31</v>
      </c>
      <c r="B26" s="278">
        <v>0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379">
        <v>0</v>
      </c>
      <c r="N26" s="470">
        <f t="shared" ref="N26:N44" si="6">SUM(B26:M26)</f>
        <v>0</v>
      </c>
      <c r="O26" s="397">
        <v>0</v>
      </c>
      <c r="P26" s="271">
        <v>6.1899999999999995</v>
      </c>
      <c r="Q26" s="274">
        <f>N26-P26</f>
        <v>-6.1899999999999995</v>
      </c>
      <c r="R26" s="619">
        <v>0</v>
      </c>
      <c r="S26" s="514">
        <f t="shared" si="2"/>
        <v>0</v>
      </c>
      <c r="T26" s="500"/>
    </row>
    <row r="27" spans="1:20" s="267" customFormat="1" ht="13">
      <c r="A27" s="597" t="s">
        <v>129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379">
        <v>0</v>
      </c>
      <c r="N27" s="470">
        <f t="shared" si="6"/>
        <v>0</v>
      </c>
      <c r="O27" s="397">
        <v>0</v>
      </c>
      <c r="P27" s="271">
        <v>288.74999999999994</v>
      </c>
      <c r="Q27" s="274">
        <f t="shared" ref="Q27:Q44" si="7">N27-P27</f>
        <v>-288.74999999999994</v>
      </c>
      <c r="R27" s="619">
        <v>0</v>
      </c>
      <c r="S27" s="514">
        <f t="shared" si="2"/>
        <v>0</v>
      </c>
      <c r="T27" s="500"/>
    </row>
    <row r="28" spans="1:20" s="267" customFormat="1" ht="13">
      <c r="A28" s="597" t="s">
        <v>130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379">
        <v>0</v>
      </c>
      <c r="N28" s="470">
        <f t="shared" si="6"/>
        <v>0</v>
      </c>
      <c r="O28" s="397">
        <v>0</v>
      </c>
      <c r="P28" s="271"/>
      <c r="Q28" s="274">
        <f t="shared" si="7"/>
        <v>0</v>
      </c>
      <c r="R28" s="619">
        <v>0</v>
      </c>
      <c r="S28" s="514">
        <f t="shared" si="2"/>
        <v>0</v>
      </c>
      <c r="T28" s="500"/>
    </row>
    <row r="29" spans="1:20" s="267" customFormat="1" ht="13" hidden="1">
      <c r="A29" s="597" t="s">
        <v>131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379"/>
      <c r="N29" s="470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619">
        <v>0</v>
      </c>
      <c r="S29" s="514">
        <f t="shared" si="2"/>
        <v>0</v>
      </c>
      <c r="T29" s="500"/>
    </row>
    <row r="30" spans="1:20" s="267" customFormat="1" ht="13" hidden="1">
      <c r="A30" s="597" t="s">
        <v>132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379"/>
      <c r="N30" s="470">
        <f t="shared" si="6"/>
        <v>0</v>
      </c>
      <c r="O30" s="397">
        <v>0</v>
      </c>
      <c r="P30" s="271">
        <v>0</v>
      </c>
      <c r="Q30" s="274">
        <f t="shared" si="7"/>
        <v>0</v>
      </c>
      <c r="R30" s="619">
        <v>0</v>
      </c>
      <c r="S30" s="514">
        <f t="shared" si="2"/>
        <v>0</v>
      </c>
      <c r="T30" s="500"/>
    </row>
    <row r="31" spans="1:20" s="267" customFormat="1" ht="13" hidden="1">
      <c r="A31" s="597" t="s">
        <v>133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379"/>
      <c r="N31" s="470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619">
        <v>0</v>
      </c>
      <c r="S31" s="514">
        <f t="shared" si="2"/>
        <v>0</v>
      </c>
      <c r="T31" s="500"/>
    </row>
    <row r="32" spans="1:20" s="267" customFormat="1" ht="13">
      <c r="A32" s="597" t="s">
        <v>39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379"/>
      <c r="N32" s="470"/>
      <c r="O32" s="397"/>
      <c r="P32" s="271">
        <v>99794.28</v>
      </c>
      <c r="Q32" s="274">
        <f t="shared" si="7"/>
        <v>-99794.28</v>
      </c>
      <c r="R32" s="619"/>
      <c r="S32" s="514">
        <f t="shared" si="2"/>
        <v>0</v>
      </c>
      <c r="T32" s="500"/>
    </row>
    <row r="33" spans="1:27" s="267" customFormat="1" ht="13">
      <c r="A33" s="597" t="s">
        <v>134</v>
      </c>
      <c r="B33" s="278">
        <v>300</v>
      </c>
      <c r="C33" s="278">
        <v>300</v>
      </c>
      <c r="D33" s="278">
        <v>300</v>
      </c>
      <c r="E33" s="278">
        <v>300</v>
      </c>
      <c r="F33" s="278">
        <v>300</v>
      </c>
      <c r="G33" s="278">
        <v>300</v>
      </c>
      <c r="H33" s="278">
        <v>300</v>
      </c>
      <c r="I33" s="278">
        <v>300</v>
      </c>
      <c r="J33" s="278">
        <v>300</v>
      </c>
      <c r="K33" s="278">
        <v>300</v>
      </c>
      <c r="L33" s="278">
        <v>300</v>
      </c>
      <c r="M33" s="278">
        <v>300</v>
      </c>
      <c r="N33" s="470">
        <f t="shared" ref="N33:N38" si="8">SUM(B33:M33)</f>
        <v>3600</v>
      </c>
      <c r="O33" s="397">
        <v>3600</v>
      </c>
      <c r="P33" s="271"/>
      <c r="Q33" s="274"/>
      <c r="R33" s="619">
        <v>7200</v>
      </c>
      <c r="S33" s="514">
        <f t="shared" si="2"/>
        <v>-3600</v>
      </c>
      <c r="T33" s="500"/>
    </row>
    <row r="34" spans="1:27" s="499" customFormat="1" ht="13">
      <c r="A34" s="600" t="s">
        <v>135</v>
      </c>
      <c r="B34" s="492">
        <v>1200</v>
      </c>
      <c r="C34" s="492">
        <v>1200</v>
      </c>
      <c r="D34" s="492">
        <v>1200</v>
      </c>
      <c r="E34" s="492">
        <v>1200</v>
      </c>
      <c r="F34" s="492">
        <v>1200</v>
      </c>
      <c r="G34" s="492">
        <v>1200</v>
      </c>
      <c r="H34" s="492">
        <v>1200</v>
      </c>
      <c r="I34" s="492">
        <v>1200</v>
      </c>
      <c r="J34" s="492">
        <v>1200</v>
      </c>
      <c r="K34" s="492">
        <v>1200</v>
      </c>
      <c r="L34" s="492">
        <v>1200</v>
      </c>
      <c r="M34" s="492">
        <v>1200</v>
      </c>
      <c r="N34" s="558">
        <f t="shared" si="8"/>
        <v>14400</v>
      </c>
      <c r="O34" s="496">
        <v>14400</v>
      </c>
      <c r="P34" s="493"/>
      <c r="Q34" s="497"/>
      <c r="R34" s="619">
        <v>25200</v>
      </c>
      <c r="S34" s="514">
        <f t="shared" si="2"/>
        <v>-10800</v>
      </c>
      <c r="T34" s="500"/>
    </row>
    <row r="35" spans="1:27" s="527" customFormat="1" ht="91">
      <c r="A35" s="601" t="s">
        <v>136</v>
      </c>
      <c r="B35" s="520">
        <v>44000</v>
      </c>
      <c r="C35" s="520">
        <v>46000</v>
      </c>
      <c r="D35" s="520">
        <v>48000</v>
      </c>
      <c r="E35" s="520">
        <v>51000</v>
      </c>
      <c r="F35" s="520">
        <v>56000</v>
      </c>
      <c r="G35" s="520">
        <v>61000</v>
      </c>
      <c r="H35" s="520">
        <v>67000</v>
      </c>
      <c r="I35" s="520">
        <v>74000</v>
      </c>
      <c r="J35" s="520">
        <v>82000</v>
      </c>
      <c r="K35" s="520">
        <v>94000</v>
      </c>
      <c r="L35" s="520">
        <v>108000</v>
      </c>
      <c r="M35" s="522">
        <v>124000</v>
      </c>
      <c r="N35" s="559">
        <f t="shared" si="8"/>
        <v>855000</v>
      </c>
      <c r="O35" s="523">
        <v>855000</v>
      </c>
      <c r="P35" s="521"/>
      <c r="Q35" s="524"/>
      <c r="R35" s="624">
        <v>1706000</v>
      </c>
      <c r="S35" s="514">
        <f t="shared" si="2"/>
        <v>-851000</v>
      </c>
      <c r="T35" s="526" t="s">
        <v>230</v>
      </c>
    </row>
    <row r="36" spans="1:27" s="267" customFormat="1" ht="13">
      <c r="A36" s="597" t="s">
        <v>137</v>
      </c>
      <c r="B36" s="278">
        <v>6000</v>
      </c>
      <c r="C36" s="278">
        <v>6000</v>
      </c>
      <c r="D36" s="278">
        <v>6000</v>
      </c>
      <c r="E36" s="278">
        <v>6000</v>
      </c>
      <c r="F36" s="278">
        <v>6000</v>
      </c>
      <c r="G36" s="278">
        <v>6000</v>
      </c>
      <c r="H36" s="278">
        <v>6000</v>
      </c>
      <c r="I36" s="278">
        <v>6000</v>
      </c>
      <c r="J36" s="278">
        <v>6000</v>
      </c>
      <c r="K36" s="278">
        <v>6000</v>
      </c>
      <c r="L36" s="278">
        <v>6000</v>
      </c>
      <c r="M36" s="278">
        <v>6000</v>
      </c>
      <c r="N36" s="470">
        <f t="shared" si="8"/>
        <v>72000</v>
      </c>
      <c r="O36" s="397">
        <v>72000</v>
      </c>
      <c r="P36" s="271">
        <v>15873</v>
      </c>
      <c r="Q36" s="274">
        <f t="shared" si="7"/>
        <v>56127</v>
      </c>
      <c r="R36" s="619">
        <v>151200</v>
      </c>
      <c r="S36" s="514">
        <f t="shared" si="2"/>
        <v>-79200</v>
      </c>
      <c r="T36" s="500"/>
    </row>
    <row r="37" spans="1:27" s="267" customFormat="1" ht="26">
      <c r="A37" s="597" t="s">
        <v>138</v>
      </c>
      <c r="B37" s="278">
        <v>0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78">
        <v>0</v>
      </c>
      <c r="I37" s="278">
        <v>0</v>
      </c>
      <c r="J37" s="278">
        <v>0</v>
      </c>
      <c r="K37" s="278">
        <v>87000</v>
      </c>
      <c r="L37" s="278">
        <v>0</v>
      </c>
      <c r="M37" s="379">
        <v>0</v>
      </c>
      <c r="N37" s="470">
        <f t="shared" si="8"/>
        <v>87000</v>
      </c>
      <c r="O37" s="397">
        <v>87000</v>
      </c>
      <c r="P37" s="271"/>
      <c r="Q37" s="274"/>
      <c r="R37" s="619">
        <v>174000</v>
      </c>
      <c r="S37" s="514">
        <f t="shared" si="2"/>
        <v>-87000</v>
      </c>
      <c r="T37" s="500" t="s">
        <v>231</v>
      </c>
    </row>
    <row r="38" spans="1:27" s="267" customFormat="1" ht="13">
      <c r="A38" s="597" t="s">
        <v>139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379">
        <v>0</v>
      </c>
      <c r="N38" s="470">
        <f t="shared" si="8"/>
        <v>0</v>
      </c>
      <c r="O38" s="397">
        <v>0</v>
      </c>
      <c r="P38" s="271"/>
      <c r="Q38" s="274">
        <f>N38-P38</f>
        <v>0</v>
      </c>
      <c r="R38" s="619">
        <v>0</v>
      </c>
      <c r="S38" s="514">
        <f t="shared" si="2"/>
        <v>0</v>
      </c>
      <c r="T38" s="500"/>
    </row>
    <row r="39" spans="1:27" s="267" customFormat="1" ht="12">
      <c r="A39" s="597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379"/>
      <c r="N39" s="470"/>
      <c r="O39" s="397"/>
      <c r="P39" s="271"/>
      <c r="Q39" s="274"/>
      <c r="R39" s="619"/>
      <c r="S39" s="514">
        <f t="shared" si="2"/>
        <v>0</v>
      </c>
      <c r="T39" s="500"/>
    </row>
    <row r="40" spans="1:27" s="267" customFormat="1" ht="13">
      <c r="A40" s="597" t="s">
        <v>140</v>
      </c>
      <c r="B40" s="278">
        <v>0</v>
      </c>
      <c r="C40" s="278">
        <v>0</v>
      </c>
      <c r="D40" s="278">
        <v>-10000</v>
      </c>
      <c r="E40" s="278">
        <v>0</v>
      </c>
      <c r="F40" s="278">
        <v>0</v>
      </c>
      <c r="G40" s="278">
        <v>0</v>
      </c>
      <c r="H40" s="278">
        <v>0</v>
      </c>
      <c r="I40" s="278">
        <v>0</v>
      </c>
      <c r="J40" s="278">
        <v>-10000</v>
      </c>
      <c r="K40" s="278">
        <v>0</v>
      </c>
      <c r="L40" s="278">
        <v>0</v>
      </c>
      <c r="M40" s="379">
        <v>0</v>
      </c>
      <c r="N40" s="470">
        <f>SUM(B40:M40)</f>
        <v>-20000</v>
      </c>
      <c r="O40" s="397">
        <v>-20000</v>
      </c>
      <c r="P40" s="271"/>
      <c r="Q40" s="274"/>
      <c r="R40" s="619">
        <v>-20000</v>
      </c>
      <c r="S40" s="514">
        <f t="shared" si="2"/>
        <v>0</v>
      </c>
      <c r="T40" s="500"/>
    </row>
    <row r="41" spans="1:27" s="267" customFormat="1" ht="13">
      <c r="A41" s="597" t="s">
        <v>141</v>
      </c>
      <c r="B41" s="278">
        <v>0</v>
      </c>
      <c r="C41" s="278">
        <v>0</v>
      </c>
      <c r="D41" s="278">
        <v>0</v>
      </c>
      <c r="E41" s="278">
        <v>0</v>
      </c>
      <c r="F41" s="278">
        <v>0</v>
      </c>
      <c r="G41" s="278">
        <v>7500</v>
      </c>
      <c r="H41" s="278">
        <v>0</v>
      </c>
      <c r="I41" s="278">
        <v>0</v>
      </c>
      <c r="J41" s="278">
        <v>7500</v>
      </c>
      <c r="K41" s="278">
        <v>0</v>
      </c>
      <c r="L41" s="278">
        <v>0</v>
      </c>
      <c r="M41" s="379">
        <v>7500</v>
      </c>
      <c r="N41" s="470">
        <f t="shared" si="6"/>
        <v>22500</v>
      </c>
      <c r="O41" s="397">
        <v>22500</v>
      </c>
      <c r="P41" s="271"/>
      <c r="Q41" s="274">
        <f t="shared" si="7"/>
        <v>22500</v>
      </c>
      <c r="R41" s="619">
        <v>22500</v>
      </c>
      <c r="S41" s="514">
        <f t="shared" si="2"/>
        <v>0</v>
      </c>
      <c r="T41" s="500"/>
    </row>
    <row r="42" spans="1:27" s="267" customFormat="1" ht="13">
      <c r="A42" s="597" t="s">
        <v>142</v>
      </c>
      <c r="B42" s="278">
        <v>300</v>
      </c>
      <c r="C42" s="278">
        <v>300</v>
      </c>
      <c r="D42" s="278">
        <v>300</v>
      </c>
      <c r="E42" s="278">
        <v>300</v>
      </c>
      <c r="F42" s="278">
        <v>300</v>
      </c>
      <c r="G42" s="278">
        <v>300</v>
      </c>
      <c r="H42" s="278">
        <v>800</v>
      </c>
      <c r="I42" s="278">
        <v>300</v>
      </c>
      <c r="J42" s="278">
        <v>300</v>
      </c>
      <c r="K42" s="278">
        <v>300</v>
      </c>
      <c r="L42" s="278">
        <v>300</v>
      </c>
      <c r="M42" s="278">
        <v>300</v>
      </c>
      <c r="N42" s="470">
        <f>SUM(B42:M42)</f>
        <v>4100</v>
      </c>
      <c r="O42" s="397">
        <v>4100</v>
      </c>
      <c r="P42" s="278"/>
      <c r="Q42" s="286"/>
      <c r="R42" s="619">
        <v>8200</v>
      </c>
      <c r="S42" s="514">
        <f t="shared" si="2"/>
        <v>-4100</v>
      </c>
      <c r="T42" s="503"/>
      <c r="U42" s="369"/>
      <c r="V42" s="369"/>
      <c r="W42" s="369"/>
    </row>
    <row r="43" spans="1:27" s="267" customFormat="1" ht="13">
      <c r="A43" s="597" t="s">
        <v>41</v>
      </c>
      <c r="B43" s="278">
        <f>0</f>
        <v>0</v>
      </c>
      <c r="C43" s="278">
        <f>0</f>
        <v>0</v>
      </c>
      <c r="D43" s="278">
        <v>0</v>
      </c>
      <c r="E43" s="278">
        <f>0</f>
        <v>0</v>
      </c>
      <c r="F43" s="278">
        <f>0</f>
        <v>0</v>
      </c>
      <c r="G43" s="278">
        <v>0</v>
      </c>
      <c r="H43" s="278">
        <v>0</v>
      </c>
      <c r="I43" s="278">
        <v>0</v>
      </c>
      <c r="J43" s="278">
        <f>0</f>
        <v>0</v>
      </c>
      <c r="K43" s="278">
        <f>0</f>
        <v>0</v>
      </c>
      <c r="L43" s="278">
        <f>0</f>
        <v>0</v>
      </c>
      <c r="M43" s="379">
        <f>0</f>
        <v>0</v>
      </c>
      <c r="N43" s="470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619">
        <v>0</v>
      </c>
      <c r="S43" s="514">
        <f t="shared" si="2"/>
        <v>0</v>
      </c>
      <c r="T43" s="500"/>
    </row>
    <row r="44" spans="1:27" s="438" customFormat="1" ht="13">
      <c r="A44" s="596" t="s">
        <v>42</v>
      </c>
      <c r="B44" s="469">
        <f t="shared" ref="B44:M44" si="9">SUM(B26:B43)</f>
        <v>51800</v>
      </c>
      <c r="C44" s="469">
        <f t="shared" si="9"/>
        <v>53800</v>
      </c>
      <c r="D44" s="469">
        <f t="shared" si="9"/>
        <v>45800</v>
      </c>
      <c r="E44" s="469">
        <f t="shared" si="9"/>
        <v>58800</v>
      </c>
      <c r="F44" s="469">
        <f t="shared" si="9"/>
        <v>63800</v>
      </c>
      <c r="G44" s="469">
        <f t="shared" si="9"/>
        <v>76300</v>
      </c>
      <c r="H44" s="469">
        <f t="shared" si="9"/>
        <v>75300</v>
      </c>
      <c r="I44" s="469">
        <f t="shared" si="9"/>
        <v>81800</v>
      </c>
      <c r="J44" s="469">
        <f t="shared" si="9"/>
        <v>87300</v>
      </c>
      <c r="K44" s="469">
        <f t="shared" si="9"/>
        <v>188800</v>
      </c>
      <c r="L44" s="469">
        <f t="shared" si="9"/>
        <v>115800</v>
      </c>
      <c r="M44" s="581">
        <f t="shared" si="9"/>
        <v>139300</v>
      </c>
      <c r="N44" s="584">
        <f t="shared" si="6"/>
        <v>1038600</v>
      </c>
      <c r="O44" s="586">
        <f>SUM(O26:O43)</f>
        <v>1038600</v>
      </c>
      <c r="P44" s="276">
        <v>401062.26</v>
      </c>
      <c r="Q44" s="276">
        <f t="shared" si="7"/>
        <v>637537.74</v>
      </c>
      <c r="R44" s="621">
        <f>SUM(R26:R43)</f>
        <v>2074300</v>
      </c>
      <c r="S44" s="514">
        <f t="shared" si="2"/>
        <v>-1035700</v>
      </c>
      <c r="T44" s="503"/>
      <c r="U44" s="369"/>
      <c r="V44" s="369"/>
      <c r="W44" s="369"/>
      <c r="X44" s="369"/>
      <c r="Y44" s="369"/>
      <c r="Z44" s="369"/>
      <c r="AA44" s="369"/>
    </row>
    <row r="45" spans="1:27" s="267" customFormat="1" ht="6" customHeight="1">
      <c r="A45" s="596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384"/>
      <c r="N45" s="470"/>
      <c r="O45" s="397"/>
      <c r="P45" s="133"/>
      <c r="Q45" s="133"/>
      <c r="R45" s="617"/>
      <c r="S45" s="514">
        <f t="shared" si="2"/>
        <v>0</v>
      </c>
      <c r="T45" s="500"/>
    </row>
    <row r="46" spans="1:27" s="267" customFormat="1" ht="13">
      <c r="A46" s="597" t="s">
        <v>43</v>
      </c>
      <c r="B46" s="278">
        <v>-2000</v>
      </c>
      <c r="C46" s="278">
        <v>-2000</v>
      </c>
      <c r="D46" s="278">
        <v>-2000</v>
      </c>
      <c r="E46" s="278">
        <v>-2000</v>
      </c>
      <c r="F46" s="278">
        <v>-2000</v>
      </c>
      <c r="G46" s="278">
        <v>-3000</v>
      </c>
      <c r="H46" s="278">
        <v>-2000</v>
      </c>
      <c r="I46" s="278">
        <v>-2000</v>
      </c>
      <c r="J46" s="278">
        <v>-3000</v>
      </c>
      <c r="K46" s="278">
        <v>-6000</v>
      </c>
      <c r="L46" s="278">
        <v>-4000</v>
      </c>
      <c r="M46" s="379">
        <v>-5000</v>
      </c>
      <c r="N46" s="470">
        <f>SUM(B46:M46)</f>
        <v>-35000</v>
      </c>
      <c r="O46" s="399">
        <v>-35000</v>
      </c>
      <c r="P46" s="271">
        <v>0</v>
      </c>
      <c r="Q46" s="274">
        <f>N46-P46</f>
        <v>-35000</v>
      </c>
      <c r="R46" s="620">
        <v>-62000</v>
      </c>
      <c r="S46" s="514">
        <f t="shared" si="2"/>
        <v>27000</v>
      </c>
      <c r="T46" s="500" t="s">
        <v>220</v>
      </c>
    </row>
    <row r="47" spans="1:27" s="267" customFormat="1" ht="14" thickBot="1">
      <c r="A47" s="597" t="s">
        <v>143</v>
      </c>
      <c r="B47" s="278">
        <f>0</f>
        <v>0</v>
      </c>
      <c r="C47" s="278">
        <f>0</f>
        <v>0</v>
      </c>
      <c r="D47" s="278">
        <f>0</f>
        <v>0</v>
      </c>
      <c r="E47" s="278">
        <f>0</f>
        <v>0</v>
      </c>
      <c r="F47" s="278">
        <f>0</f>
        <v>0</v>
      </c>
      <c r="G47" s="278">
        <v>0</v>
      </c>
      <c r="H47" s="278">
        <v>0</v>
      </c>
      <c r="I47" s="278">
        <v>0</v>
      </c>
      <c r="J47" s="278">
        <v>0</v>
      </c>
      <c r="K47" s="278">
        <v>0</v>
      </c>
      <c r="L47" s="278">
        <f>0</f>
        <v>0</v>
      </c>
      <c r="M47" s="379">
        <f>0</f>
        <v>0</v>
      </c>
      <c r="N47" s="470">
        <f>SUM(B47:M47)</f>
        <v>0</v>
      </c>
      <c r="O47" s="397">
        <v>0</v>
      </c>
      <c r="P47" s="271">
        <v>0</v>
      </c>
      <c r="Q47" s="274">
        <f>N47-P47</f>
        <v>0</v>
      </c>
      <c r="R47" s="619">
        <v>0</v>
      </c>
      <c r="S47" s="514">
        <f t="shared" si="2"/>
        <v>0</v>
      </c>
      <c r="T47" s="500"/>
    </row>
    <row r="48" spans="1:27" s="452" customFormat="1" ht="14" thickTop="1">
      <c r="A48" s="602" t="s">
        <v>45</v>
      </c>
      <c r="B48" s="446">
        <f t="shared" ref="B48:M48" si="10">(((((B11)+(B17))+(B23))+(B44))+(B46))+(B47)</f>
        <v>67000</v>
      </c>
      <c r="C48" s="446">
        <f t="shared" si="10"/>
        <v>58700</v>
      </c>
      <c r="D48" s="446">
        <f t="shared" si="10"/>
        <v>51650</v>
      </c>
      <c r="E48" s="446">
        <f t="shared" si="10"/>
        <v>65600</v>
      </c>
      <c r="F48" s="446">
        <f t="shared" si="10"/>
        <v>109100</v>
      </c>
      <c r="G48" s="446">
        <f t="shared" si="10"/>
        <v>117250</v>
      </c>
      <c r="H48" s="446">
        <f t="shared" si="10"/>
        <v>108500</v>
      </c>
      <c r="I48" s="446">
        <f t="shared" si="10"/>
        <v>134000</v>
      </c>
      <c r="J48" s="446">
        <f t="shared" si="10"/>
        <v>127300</v>
      </c>
      <c r="K48" s="446">
        <f t="shared" si="10"/>
        <v>302500</v>
      </c>
      <c r="L48" s="446">
        <f t="shared" si="10"/>
        <v>138400</v>
      </c>
      <c r="M48" s="447">
        <f t="shared" si="10"/>
        <v>183400</v>
      </c>
      <c r="N48" s="560">
        <f>SUM(B48:M48)</f>
        <v>1463400</v>
      </c>
      <c r="O48" s="449">
        <f>SUM(O11,O17,O23,O44,O46,O47)</f>
        <v>1463400</v>
      </c>
      <c r="P48" s="446">
        <v>1179776.3799999999</v>
      </c>
      <c r="Q48" s="450">
        <f>N48-P48</f>
        <v>283623.62000000011</v>
      </c>
      <c r="R48" s="625">
        <f>SUM(R11,R17,R23,R44,R46,R47)</f>
        <v>2472100</v>
      </c>
      <c r="S48" s="514">
        <f t="shared" si="2"/>
        <v>-1008700</v>
      </c>
      <c r="T48" s="505"/>
    </row>
    <row r="49" spans="1:20" s="267" customFormat="1" ht="16" customHeight="1">
      <c r="A49" s="597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384"/>
      <c r="N49" s="566">
        <f>N48-180000</f>
        <v>1283400</v>
      </c>
      <c r="O49" s="399"/>
      <c r="P49" s="370"/>
      <c r="Q49" s="370"/>
      <c r="R49" s="626"/>
      <c r="S49" s="514">
        <f t="shared" si="2"/>
        <v>0</v>
      </c>
      <c r="T49" s="500"/>
    </row>
    <row r="50" spans="1:20" s="267" customFormat="1" ht="22" customHeight="1">
      <c r="A50" s="603" t="s">
        <v>221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387"/>
      <c r="N50" s="470"/>
      <c r="O50" s="397"/>
      <c r="P50" s="133"/>
      <c r="Q50" s="133"/>
      <c r="R50" s="617"/>
      <c r="S50" s="514">
        <f t="shared" si="2"/>
        <v>0</v>
      </c>
      <c r="T50" s="500"/>
    </row>
    <row r="51" spans="1:20" s="267" customFormat="1" ht="13">
      <c r="A51" s="596" t="s">
        <v>144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379"/>
      <c r="N51" s="470"/>
      <c r="O51" s="397"/>
      <c r="P51" s="133"/>
      <c r="Q51" s="133"/>
      <c r="R51" s="617"/>
      <c r="S51" s="514">
        <f t="shared" si="2"/>
        <v>0</v>
      </c>
      <c r="T51" s="500"/>
    </row>
    <row r="52" spans="1:20" s="267" customFormat="1" ht="13">
      <c r="A52" s="597" t="s">
        <v>48</v>
      </c>
      <c r="B52" s="278">
        <v>400</v>
      </c>
      <c r="C52" s="278">
        <v>400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379">
        <v>400</v>
      </c>
      <c r="N52" s="470">
        <f t="shared" ref="N52:N60" si="11">SUM(B52:M52)</f>
        <v>4800</v>
      </c>
      <c r="O52" s="397">
        <v>4800</v>
      </c>
      <c r="P52" s="271">
        <v>3875.12</v>
      </c>
      <c r="Q52" s="274">
        <f>N52-P52</f>
        <v>924.88000000000011</v>
      </c>
      <c r="R52" s="619">
        <v>4800</v>
      </c>
      <c r="S52" s="514">
        <f t="shared" si="2"/>
        <v>0</v>
      </c>
      <c r="T52" s="500"/>
    </row>
    <row r="53" spans="1:20" s="267" customFormat="1" ht="13">
      <c r="A53" s="597" t="s">
        <v>145</v>
      </c>
      <c r="B53" s="278">
        <v>1000</v>
      </c>
      <c r="C53" s="278">
        <v>20000</v>
      </c>
      <c r="D53" s="278">
        <v>1000</v>
      </c>
      <c r="E53" s="278">
        <v>1000</v>
      </c>
      <c r="F53" s="278">
        <v>1000</v>
      </c>
      <c r="G53" s="278">
        <v>1000</v>
      </c>
      <c r="H53" s="278">
        <v>1000</v>
      </c>
      <c r="I53" s="278">
        <v>1000</v>
      </c>
      <c r="J53" s="278">
        <v>1000</v>
      </c>
      <c r="K53" s="278">
        <v>1000</v>
      </c>
      <c r="L53" s="278">
        <v>1000</v>
      </c>
      <c r="M53" s="379">
        <v>8000</v>
      </c>
      <c r="N53" s="470">
        <f t="shared" si="11"/>
        <v>38000</v>
      </c>
      <c r="O53" s="397">
        <v>38000</v>
      </c>
      <c r="P53" s="271">
        <v>20722.400000000001</v>
      </c>
      <c r="Q53" s="274">
        <f t="shared" ref="Q53:Q60" si="12">N53-P53</f>
        <v>17277.599999999999</v>
      </c>
      <c r="R53" s="619">
        <v>38000</v>
      </c>
      <c r="S53" s="514">
        <f t="shared" si="2"/>
        <v>0</v>
      </c>
      <c r="T53" s="500"/>
    </row>
    <row r="54" spans="1:20" s="267" customFormat="1" ht="26">
      <c r="A54" s="597" t="s">
        <v>146</v>
      </c>
      <c r="B54" s="278">
        <v>3000</v>
      </c>
      <c r="C54" s="278">
        <v>3000</v>
      </c>
      <c r="D54" s="278">
        <v>3000</v>
      </c>
      <c r="E54" s="278">
        <v>3000</v>
      </c>
      <c r="F54" s="278">
        <v>3000</v>
      </c>
      <c r="G54" s="278">
        <v>3000</v>
      </c>
      <c r="H54" s="278">
        <v>5000</v>
      </c>
      <c r="I54" s="278">
        <v>5000</v>
      </c>
      <c r="J54" s="278">
        <v>5000</v>
      </c>
      <c r="K54" s="278">
        <v>5000</v>
      </c>
      <c r="L54" s="278">
        <v>5000</v>
      </c>
      <c r="M54" s="379">
        <v>5000</v>
      </c>
      <c r="N54" s="561">
        <f t="shared" si="11"/>
        <v>48000</v>
      </c>
      <c r="O54" s="513">
        <v>48000</v>
      </c>
      <c r="P54" s="271">
        <v>24074</v>
      </c>
      <c r="Q54" s="274">
        <f t="shared" si="12"/>
        <v>23926</v>
      </c>
      <c r="R54" s="619">
        <v>60000</v>
      </c>
      <c r="S54" s="514">
        <f t="shared" si="2"/>
        <v>-12000</v>
      </c>
      <c r="T54" s="500" t="s">
        <v>232</v>
      </c>
    </row>
    <row r="55" spans="1:20" s="267" customFormat="1" ht="13">
      <c r="A55" s="597" t="s">
        <v>147</v>
      </c>
      <c r="B55" s="278">
        <v>300</v>
      </c>
      <c r="C55" s="278">
        <v>300</v>
      </c>
      <c r="D55" s="278">
        <v>300</v>
      </c>
      <c r="E55" s="278">
        <v>300</v>
      </c>
      <c r="F55" s="278">
        <v>300</v>
      </c>
      <c r="G55" s="278">
        <v>300</v>
      </c>
      <c r="H55" s="278">
        <v>300</v>
      </c>
      <c r="I55" s="278">
        <v>300</v>
      </c>
      <c r="J55" s="278">
        <v>300</v>
      </c>
      <c r="K55" s="278">
        <v>300</v>
      </c>
      <c r="L55" s="278">
        <v>300</v>
      </c>
      <c r="M55" s="379">
        <v>300</v>
      </c>
      <c r="N55" s="470">
        <f t="shared" si="11"/>
        <v>3600</v>
      </c>
      <c r="O55" s="397">
        <v>3600</v>
      </c>
      <c r="P55" s="271">
        <v>4249.01</v>
      </c>
      <c r="Q55" s="274">
        <f t="shared" si="12"/>
        <v>-649.01000000000022</v>
      </c>
      <c r="R55" s="619">
        <v>3600</v>
      </c>
      <c r="S55" s="514">
        <f t="shared" si="2"/>
        <v>0</v>
      </c>
      <c r="T55" s="500"/>
    </row>
    <row r="56" spans="1:20" s="267" customFormat="1" ht="13">
      <c r="A56" s="597" t="s">
        <v>148</v>
      </c>
      <c r="B56" s="278">
        <v>0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78">
        <v>0</v>
      </c>
      <c r="I56" s="278">
        <v>3000</v>
      </c>
      <c r="J56" s="278">
        <v>0</v>
      </c>
      <c r="K56" s="278">
        <v>0</v>
      </c>
      <c r="L56" s="278">
        <v>0</v>
      </c>
      <c r="M56" s="379">
        <v>0</v>
      </c>
      <c r="N56" s="470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619">
        <v>3000</v>
      </c>
      <c r="S56" s="514">
        <f t="shared" si="2"/>
        <v>0</v>
      </c>
      <c r="T56" s="500"/>
    </row>
    <row r="57" spans="1:20" s="267" customFormat="1" ht="13">
      <c r="A57" s="597" t="s">
        <v>149</v>
      </c>
      <c r="B57" s="278">
        <v>500</v>
      </c>
      <c r="C57" s="278">
        <v>500</v>
      </c>
      <c r="D57" s="278">
        <v>500</v>
      </c>
      <c r="E57" s="278">
        <v>500</v>
      </c>
      <c r="F57" s="278">
        <v>500</v>
      </c>
      <c r="G57" s="278">
        <v>500</v>
      </c>
      <c r="H57" s="278">
        <v>500</v>
      </c>
      <c r="I57" s="278">
        <v>500</v>
      </c>
      <c r="J57" s="278">
        <v>500</v>
      </c>
      <c r="K57" s="278">
        <v>500</v>
      </c>
      <c r="L57" s="278">
        <v>500</v>
      </c>
      <c r="M57" s="379">
        <v>500</v>
      </c>
      <c r="N57" s="470">
        <f>SUM(B57:M57)</f>
        <v>6000</v>
      </c>
      <c r="O57" s="397">
        <v>6000</v>
      </c>
      <c r="P57" s="271"/>
      <c r="Q57" s="274">
        <f t="shared" si="12"/>
        <v>6000</v>
      </c>
      <c r="R57" s="619">
        <v>6000</v>
      </c>
      <c r="S57" s="514">
        <f t="shared" si="2"/>
        <v>0</v>
      </c>
      <c r="T57" s="500"/>
    </row>
    <row r="58" spans="1:20" s="267" customFormat="1" ht="13">
      <c r="A58" s="597" t="s">
        <v>150</v>
      </c>
      <c r="B58" s="278">
        <v>3000</v>
      </c>
      <c r="C58" s="278">
        <v>11500</v>
      </c>
      <c r="D58" s="278">
        <v>3000</v>
      </c>
      <c r="E58" s="278">
        <v>11500</v>
      </c>
      <c r="F58" s="278">
        <v>6000</v>
      </c>
      <c r="G58" s="278">
        <v>1000</v>
      </c>
      <c r="H58" s="278">
        <v>11500</v>
      </c>
      <c r="I58" s="278">
        <v>11500</v>
      </c>
      <c r="J58" s="278">
        <v>18000</v>
      </c>
      <c r="K58" s="278">
        <v>38000</v>
      </c>
      <c r="L58" s="278">
        <v>3000</v>
      </c>
      <c r="M58" s="379">
        <v>5000</v>
      </c>
      <c r="N58" s="470">
        <f t="shared" si="11"/>
        <v>123000</v>
      </c>
      <c r="O58" s="397">
        <v>123000</v>
      </c>
      <c r="P58" s="271">
        <v>35418.75</v>
      </c>
      <c r="Q58" s="274">
        <f t="shared" si="12"/>
        <v>87581.25</v>
      </c>
      <c r="R58" s="619">
        <v>123000</v>
      </c>
      <c r="S58" s="514">
        <f t="shared" si="2"/>
        <v>0</v>
      </c>
      <c r="T58" s="500"/>
    </row>
    <row r="59" spans="1:20" s="267" customFormat="1" ht="13">
      <c r="A59" s="597" t="s">
        <v>151</v>
      </c>
      <c r="B59" s="278">
        <v>0</v>
      </c>
      <c r="C59" s="278">
        <v>0</v>
      </c>
      <c r="D59" s="278">
        <v>0</v>
      </c>
      <c r="E59" s="278">
        <v>0</v>
      </c>
      <c r="F59" s="278">
        <v>0</v>
      </c>
      <c r="G59" s="278">
        <f>0</f>
        <v>0</v>
      </c>
      <c r="H59" s="278">
        <v>0</v>
      </c>
      <c r="I59" s="278">
        <v>0</v>
      </c>
      <c r="J59" s="278">
        <v>0</v>
      </c>
      <c r="K59" s="278">
        <v>3000</v>
      </c>
      <c r="L59" s="278">
        <v>0</v>
      </c>
      <c r="M59" s="379">
        <v>0</v>
      </c>
      <c r="N59" s="470">
        <f t="shared" si="11"/>
        <v>3000</v>
      </c>
      <c r="O59" s="397">
        <v>3000</v>
      </c>
      <c r="P59" s="271">
        <v>2665.37</v>
      </c>
      <c r="Q59" s="274">
        <f t="shared" si="12"/>
        <v>334.63000000000011</v>
      </c>
      <c r="R59" s="619">
        <v>3000</v>
      </c>
      <c r="S59" s="514">
        <f t="shared" si="2"/>
        <v>0</v>
      </c>
      <c r="T59" s="500"/>
    </row>
    <row r="60" spans="1:20" s="267" customFormat="1" ht="13">
      <c r="A60" s="604" t="s">
        <v>152</v>
      </c>
      <c r="B60" s="469">
        <f t="shared" ref="B60:M60" si="13">SUM(B52:B59)</f>
        <v>8200</v>
      </c>
      <c r="C60" s="469">
        <f t="shared" si="13"/>
        <v>35700</v>
      </c>
      <c r="D60" s="469">
        <f t="shared" si="13"/>
        <v>8200</v>
      </c>
      <c r="E60" s="469">
        <f t="shared" si="13"/>
        <v>16700</v>
      </c>
      <c r="F60" s="469">
        <f t="shared" si="13"/>
        <v>11200</v>
      </c>
      <c r="G60" s="469">
        <f t="shared" si="13"/>
        <v>6200</v>
      </c>
      <c r="H60" s="469">
        <f t="shared" si="13"/>
        <v>18700</v>
      </c>
      <c r="I60" s="469">
        <f t="shared" si="13"/>
        <v>21700</v>
      </c>
      <c r="J60" s="469">
        <f t="shared" si="13"/>
        <v>25200</v>
      </c>
      <c r="K60" s="469">
        <f t="shared" si="13"/>
        <v>48200</v>
      </c>
      <c r="L60" s="469">
        <f t="shared" si="13"/>
        <v>10200</v>
      </c>
      <c r="M60" s="581">
        <f t="shared" si="13"/>
        <v>19200</v>
      </c>
      <c r="N60" s="562">
        <f t="shared" si="11"/>
        <v>229400</v>
      </c>
      <c r="O60" s="585">
        <f>SUM(O52:O59)</f>
        <v>229400</v>
      </c>
      <c r="P60" s="276">
        <v>91929.239999999991</v>
      </c>
      <c r="Q60" s="276">
        <f t="shared" si="12"/>
        <v>137470.76</v>
      </c>
      <c r="R60" s="627">
        <f>SUM(R52:R59)</f>
        <v>241400</v>
      </c>
      <c r="S60" s="514">
        <f t="shared" si="2"/>
        <v>-12000</v>
      </c>
      <c r="T60" s="500"/>
    </row>
    <row r="61" spans="1:20" s="267" customFormat="1" ht="6" customHeight="1">
      <c r="A61" s="596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384"/>
      <c r="N61" s="470"/>
      <c r="O61" s="397"/>
      <c r="P61" s="133"/>
      <c r="Q61" s="133"/>
      <c r="R61" s="617"/>
      <c r="S61" s="514">
        <f t="shared" si="2"/>
        <v>0</v>
      </c>
      <c r="T61" s="500"/>
    </row>
    <row r="62" spans="1:20" s="267" customFormat="1" ht="13">
      <c r="A62" s="596" t="s">
        <v>153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385"/>
      <c r="N62" s="470"/>
      <c r="O62" s="397"/>
      <c r="P62" s="133"/>
      <c r="Q62" s="133"/>
      <c r="R62" s="617"/>
      <c r="S62" s="514">
        <f t="shared" si="2"/>
        <v>0</v>
      </c>
      <c r="T62" s="500"/>
    </row>
    <row r="63" spans="1:20" s="267" customFormat="1" ht="13">
      <c r="A63" s="597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379"/>
      <c r="N63" s="562"/>
      <c r="O63" s="406"/>
      <c r="P63" s="271">
        <v>49969.65</v>
      </c>
      <c r="Q63" s="274">
        <f>N63-P63</f>
        <v>-49969.65</v>
      </c>
      <c r="R63" s="622"/>
      <c r="S63" s="514">
        <f t="shared" si="2"/>
        <v>0</v>
      </c>
      <c r="T63" s="500"/>
    </row>
    <row r="64" spans="1:20" s="267" customFormat="1" ht="13">
      <c r="A64" s="605" t="s">
        <v>155</v>
      </c>
      <c r="B64" s="278">
        <v>0</v>
      </c>
      <c r="C64" s="278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4000</v>
      </c>
      <c r="I64" s="278">
        <v>4000</v>
      </c>
      <c r="J64" s="278">
        <v>4000</v>
      </c>
      <c r="K64" s="278">
        <v>4000</v>
      </c>
      <c r="L64" s="278">
        <v>4000</v>
      </c>
      <c r="M64" s="278">
        <v>4000</v>
      </c>
      <c r="N64" s="562">
        <f>SUM(B64:M64)</f>
        <v>24000</v>
      </c>
      <c r="O64" s="397">
        <v>24000</v>
      </c>
      <c r="P64" s="271"/>
      <c r="Q64" s="274"/>
      <c r="R64" s="619">
        <v>24000</v>
      </c>
      <c r="S64" s="514">
        <f t="shared" si="2"/>
        <v>0</v>
      </c>
      <c r="T64" s="500"/>
    </row>
    <row r="65" spans="1:23" s="267" customFormat="1" ht="13">
      <c r="A65" s="605" t="s">
        <v>156</v>
      </c>
      <c r="B65" s="278">
        <v>1100</v>
      </c>
      <c r="C65" s="278">
        <v>1100</v>
      </c>
      <c r="D65" s="278">
        <v>1100</v>
      </c>
      <c r="E65" s="278">
        <v>1100</v>
      </c>
      <c r="F65" s="278">
        <v>1100</v>
      </c>
      <c r="G65" s="278">
        <v>1100</v>
      </c>
      <c r="H65" s="278">
        <v>1100</v>
      </c>
      <c r="I65" s="278">
        <v>1100</v>
      </c>
      <c r="J65" s="278">
        <v>1100</v>
      </c>
      <c r="K65" s="278">
        <v>1100</v>
      </c>
      <c r="L65" s="278">
        <v>1100</v>
      </c>
      <c r="M65" s="379">
        <v>1100</v>
      </c>
      <c r="N65" s="470">
        <f t="shared" ref="N65:N74" si="14">SUM(B65:M65)</f>
        <v>13200</v>
      </c>
      <c r="O65" s="397">
        <v>13200</v>
      </c>
      <c r="P65" s="271"/>
      <c r="Q65" s="133"/>
      <c r="R65" s="619">
        <v>13200</v>
      </c>
      <c r="S65" s="514">
        <f t="shared" si="2"/>
        <v>0</v>
      </c>
      <c r="T65" s="500"/>
    </row>
    <row r="66" spans="1:23" s="517" customFormat="1" ht="32" customHeight="1">
      <c r="A66" s="601" t="s">
        <v>157</v>
      </c>
      <c r="B66" s="520">
        <v>1000</v>
      </c>
      <c r="C66" s="520">
        <v>1000</v>
      </c>
      <c r="D66" s="520">
        <v>1000</v>
      </c>
      <c r="E66" s="520">
        <v>2000</v>
      </c>
      <c r="F66" s="520">
        <v>2000</v>
      </c>
      <c r="G66" s="520">
        <v>2000</v>
      </c>
      <c r="H66" s="520">
        <v>3000</v>
      </c>
      <c r="I66" s="520">
        <v>3000</v>
      </c>
      <c r="J66" s="520">
        <v>3000</v>
      </c>
      <c r="K66" s="520">
        <v>3000</v>
      </c>
      <c r="L66" s="520">
        <v>3000</v>
      </c>
      <c r="M66" s="520">
        <v>3000</v>
      </c>
      <c r="N66" s="559">
        <f t="shared" si="14"/>
        <v>27000</v>
      </c>
      <c r="O66" s="528">
        <v>27000</v>
      </c>
      <c r="P66" s="515"/>
      <c r="Q66" s="518"/>
      <c r="R66" s="623">
        <v>36000</v>
      </c>
      <c r="S66" s="514">
        <f t="shared" si="2"/>
        <v>-9000</v>
      </c>
      <c r="T66" s="526" t="s">
        <v>233</v>
      </c>
      <c r="U66" s="527"/>
      <c r="V66" s="527"/>
    </row>
    <row r="67" spans="1:23" s="267" customFormat="1" ht="13">
      <c r="A67" s="605" t="s">
        <v>234</v>
      </c>
      <c r="B67" s="278">
        <v>1000</v>
      </c>
      <c r="C67" s="278">
        <v>1000</v>
      </c>
      <c r="D67" s="278">
        <v>1000</v>
      </c>
      <c r="E67" s="278">
        <v>1000</v>
      </c>
      <c r="F67" s="278">
        <v>1000</v>
      </c>
      <c r="G67" s="278">
        <v>1000</v>
      </c>
      <c r="H67" s="278">
        <v>1000</v>
      </c>
      <c r="I67" s="278">
        <v>1000</v>
      </c>
      <c r="J67" s="278">
        <v>1000</v>
      </c>
      <c r="K67" s="278">
        <v>1000</v>
      </c>
      <c r="L67" s="278">
        <v>1000</v>
      </c>
      <c r="M67" s="379">
        <v>1000</v>
      </c>
      <c r="N67" s="470">
        <f t="shared" si="14"/>
        <v>12000</v>
      </c>
      <c r="O67" s="397">
        <v>12000</v>
      </c>
      <c r="P67" s="271"/>
      <c r="Q67" s="133"/>
      <c r="R67" s="619">
        <v>12000</v>
      </c>
      <c r="S67" s="514">
        <f t="shared" si="2"/>
        <v>0</v>
      </c>
      <c r="T67" s="500"/>
    </row>
    <row r="68" spans="1:23" s="267" customFormat="1" ht="13">
      <c r="A68" s="605" t="s">
        <v>161</v>
      </c>
      <c r="B68" s="278">
        <v>5300</v>
      </c>
      <c r="C68" s="369">
        <v>0</v>
      </c>
      <c r="D68" s="369">
        <v>0</v>
      </c>
      <c r="E68" s="369">
        <v>0</v>
      </c>
      <c r="F68" s="369">
        <v>0</v>
      </c>
      <c r="G68" s="369">
        <v>0</v>
      </c>
      <c r="H68" s="369">
        <v>0</v>
      </c>
      <c r="I68" s="369">
        <v>0</v>
      </c>
      <c r="J68" s="369">
        <v>0</v>
      </c>
      <c r="K68" s="278">
        <v>11000</v>
      </c>
      <c r="L68" s="278">
        <v>0</v>
      </c>
      <c r="M68" s="379">
        <v>0</v>
      </c>
      <c r="N68" s="470">
        <f>SUM(B68:M68)</f>
        <v>16300</v>
      </c>
      <c r="O68" s="397">
        <v>16300</v>
      </c>
      <c r="P68" s="271"/>
      <c r="Q68" s="133"/>
      <c r="R68" s="619">
        <v>16300</v>
      </c>
      <c r="S68" s="514">
        <f t="shared" si="2"/>
        <v>0</v>
      </c>
      <c r="T68" s="500"/>
    </row>
    <row r="69" spans="1:23" s="267" customFormat="1" ht="13">
      <c r="A69" s="605" t="s">
        <v>164</v>
      </c>
      <c r="B69" s="278">
        <v>1000</v>
      </c>
      <c r="C69" s="278">
        <v>1000</v>
      </c>
      <c r="D69" s="278">
        <v>1000</v>
      </c>
      <c r="E69" s="278">
        <v>1000</v>
      </c>
      <c r="F69" s="278">
        <v>1000</v>
      </c>
      <c r="G69" s="278">
        <v>1000</v>
      </c>
      <c r="H69" s="278">
        <v>1000</v>
      </c>
      <c r="I69" s="278">
        <v>1000</v>
      </c>
      <c r="J69" s="278">
        <v>1000</v>
      </c>
      <c r="K69" s="278">
        <v>1000</v>
      </c>
      <c r="L69" s="278">
        <v>1000</v>
      </c>
      <c r="M69" s="278">
        <v>1000</v>
      </c>
      <c r="N69" s="470">
        <f t="shared" si="14"/>
        <v>12000</v>
      </c>
      <c r="O69" s="397">
        <v>12000</v>
      </c>
      <c r="P69" s="271"/>
      <c r="Q69" s="275"/>
      <c r="R69" s="619">
        <v>12000</v>
      </c>
      <c r="S69" s="514">
        <f t="shared" si="2"/>
        <v>0</v>
      </c>
      <c r="T69" s="500"/>
    </row>
    <row r="70" spans="1:23" s="267" customFormat="1" ht="13">
      <c r="A70" s="597" t="s">
        <v>165</v>
      </c>
      <c r="B70" s="278">
        <v>10000</v>
      </c>
      <c r="C70" s="278">
        <v>1000</v>
      </c>
      <c r="D70" s="278">
        <v>1000</v>
      </c>
      <c r="E70" s="278">
        <v>1000</v>
      </c>
      <c r="F70" s="278">
        <v>1000</v>
      </c>
      <c r="G70" s="278">
        <v>1000</v>
      </c>
      <c r="H70" s="278">
        <v>1000</v>
      </c>
      <c r="I70" s="278">
        <v>1000</v>
      </c>
      <c r="J70" s="278">
        <v>1000</v>
      </c>
      <c r="K70" s="278">
        <v>1000</v>
      </c>
      <c r="L70" s="278">
        <v>1000</v>
      </c>
      <c r="M70" s="379">
        <v>1000</v>
      </c>
      <c r="N70" s="470">
        <f t="shared" si="14"/>
        <v>21000</v>
      </c>
      <c r="O70" s="397">
        <v>21000</v>
      </c>
      <c r="P70" s="271">
        <v>40075.839999999997</v>
      </c>
      <c r="Q70" s="274">
        <f>N70-P70</f>
        <v>-19075.839999999997</v>
      </c>
      <c r="R70" s="619">
        <v>21000</v>
      </c>
      <c r="S70" s="514">
        <f t="shared" si="2"/>
        <v>0</v>
      </c>
      <c r="T70" s="500"/>
    </row>
    <row r="71" spans="1:23" s="267" customFormat="1" ht="12" customHeight="1">
      <c r="A71" s="597" t="s">
        <v>166</v>
      </c>
      <c r="B71" s="278">
        <v>250</v>
      </c>
      <c r="C71" s="278">
        <v>250</v>
      </c>
      <c r="D71" s="278">
        <v>250</v>
      </c>
      <c r="E71" s="278">
        <v>250</v>
      </c>
      <c r="F71" s="278">
        <v>250</v>
      </c>
      <c r="G71" s="278">
        <v>250</v>
      </c>
      <c r="H71" s="278">
        <v>250</v>
      </c>
      <c r="I71" s="278">
        <v>250</v>
      </c>
      <c r="J71" s="278">
        <v>250</v>
      </c>
      <c r="K71" s="278">
        <v>250</v>
      </c>
      <c r="L71" s="278">
        <v>250</v>
      </c>
      <c r="M71" s="379">
        <v>250</v>
      </c>
      <c r="N71" s="470">
        <f t="shared" si="14"/>
        <v>3000</v>
      </c>
      <c r="O71" s="397">
        <v>3000</v>
      </c>
      <c r="P71" s="271">
        <v>6621.17</v>
      </c>
      <c r="Q71" s="274">
        <f t="shared" ref="Q71:Q75" si="15">N71-P71</f>
        <v>-3621.17</v>
      </c>
      <c r="R71" s="619">
        <v>3000</v>
      </c>
      <c r="S71" s="514">
        <f t="shared" ref="S71:S134" si="16">O71-R71</f>
        <v>0</v>
      </c>
      <c r="T71" s="500"/>
    </row>
    <row r="72" spans="1:23" s="267" customFormat="1" ht="13">
      <c r="A72" s="597" t="s">
        <v>168</v>
      </c>
      <c r="B72" s="278">
        <v>0</v>
      </c>
      <c r="C72" s="278">
        <v>0</v>
      </c>
      <c r="D72" s="278">
        <v>0</v>
      </c>
      <c r="E72" s="278">
        <v>0</v>
      </c>
      <c r="F72" s="278">
        <v>5000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5000</v>
      </c>
      <c r="M72" s="379">
        <v>0</v>
      </c>
      <c r="N72" s="470">
        <f t="shared" si="14"/>
        <v>10000</v>
      </c>
      <c r="O72" s="397">
        <v>10000</v>
      </c>
      <c r="P72" s="271">
        <v>2425.1099999999997</v>
      </c>
      <c r="Q72" s="274">
        <f t="shared" si="15"/>
        <v>7574.89</v>
      </c>
      <c r="R72" s="619">
        <v>10000</v>
      </c>
      <c r="S72" s="514">
        <f t="shared" si="16"/>
        <v>0</v>
      </c>
      <c r="T72" s="500"/>
    </row>
    <row r="73" spans="1:23" s="517" customFormat="1" ht="26">
      <c r="A73" s="601" t="s">
        <v>54</v>
      </c>
      <c r="B73" s="520">
        <v>3000</v>
      </c>
      <c r="C73" s="520">
        <v>3000</v>
      </c>
      <c r="D73" s="520">
        <v>3000</v>
      </c>
      <c r="E73" s="520">
        <v>4000</v>
      </c>
      <c r="F73" s="520">
        <v>4000</v>
      </c>
      <c r="G73" s="520">
        <v>4000</v>
      </c>
      <c r="H73" s="520">
        <v>4000</v>
      </c>
      <c r="I73" s="520">
        <v>4000</v>
      </c>
      <c r="J73" s="520">
        <v>4000</v>
      </c>
      <c r="K73" s="520">
        <v>4000</v>
      </c>
      <c r="L73" s="520">
        <v>4000</v>
      </c>
      <c r="M73" s="522">
        <v>4000</v>
      </c>
      <c r="N73" s="559">
        <f t="shared" si="14"/>
        <v>45000</v>
      </c>
      <c r="O73" s="529">
        <v>45000</v>
      </c>
      <c r="P73" s="515">
        <v>23942.32</v>
      </c>
      <c r="Q73" s="516">
        <f t="shared" si="15"/>
        <v>21057.68</v>
      </c>
      <c r="R73" s="623">
        <v>48000</v>
      </c>
      <c r="S73" s="514">
        <f t="shared" si="16"/>
        <v>-3000</v>
      </c>
      <c r="T73" s="526" t="s">
        <v>235</v>
      </c>
      <c r="U73" s="527"/>
      <c r="V73" s="527"/>
    </row>
    <row r="74" spans="1:23" s="267" customFormat="1" ht="13">
      <c r="A74" s="597" t="s">
        <v>56</v>
      </c>
      <c r="B74" s="278">
        <v>2900</v>
      </c>
      <c r="C74" s="278">
        <v>4000</v>
      </c>
      <c r="D74" s="278">
        <v>1100</v>
      </c>
      <c r="E74" s="278">
        <v>400</v>
      </c>
      <c r="F74" s="278">
        <v>400</v>
      </c>
      <c r="G74" s="278">
        <v>400</v>
      </c>
      <c r="H74" s="278">
        <v>400</v>
      </c>
      <c r="I74" s="278">
        <v>400</v>
      </c>
      <c r="J74" s="278">
        <v>3000</v>
      </c>
      <c r="K74" s="278">
        <v>400</v>
      </c>
      <c r="L74" s="278">
        <v>400</v>
      </c>
      <c r="M74" s="278">
        <v>400</v>
      </c>
      <c r="N74" s="470">
        <f t="shared" si="14"/>
        <v>14200</v>
      </c>
      <c r="O74" s="397">
        <v>14200</v>
      </c>
      <c r="P74" s="271">
        <v>13154.77</v>
      </c>
      <c r="Q74" s="274">
        <f t="shared" si="15"/>
        <v>1045.2299999999996</v>
      </c>
      <c r="R74" s="619">
        <v>14200</v>
      </c>
      <c r="S74" s="514">
        <f t="shared" si="16"/>
        <v>0</v>
      </c>
      <c r="T74" s="500"/>
    </row>
    <row r="75" spans="1:23" s="267" customFormat="1" ht="13">
      <c r="A75" s="604" t="s">
        <v>169</v>
      </c>
      <c r="B75" s="469">
        <f t="shared" ref="B75:M75" si="17">SUM(B63:B74)</f>
        <v>25550</v>
      </c>
      <c r="C75" s="469">
        <f t="shared" si="17"/>
        <v>12350</v>
      </c>
      <c r="D75" s="469">
        <f t="shared" si="17"/>
        <v>9450</v>
      </c>
      <c r="E75" s="469">
        <f t="shared" si="17"/>
        <v>10750</v>
      </c>
      <c r="F75" s="469">
        <f t="shared" si="17"/>
        <v>15750</v>
      </c>
      <c r="G75" s="469">
        <f t="shared" si="17"/>
        <v>10750</v>
      </c>
      <c r="H75" s="469">
        <f t="shared" si="17"/>
        <v>15750</v>
      </c>
      <c r="I75" s="469">
        <f t="shared" si="17"/>
        <v>15750</v>
      </c>
      <c r="J75" s="469">
        <f t="shared" si="17"/>
        <v>18350</v>
      </c>
      <c r="K75" s="469">
        <f t="shared" si="17"/>
        <v>26750</v>
      </c>
      <c r="L75" s="469">
        <f t="shared" si="17"/>
        <v>20750</v>
      </c>
      <c r="M75" s="469">
        <f t="shared" si="17"/>
        <v>15750</v>
      </c>
      <c r="N75" s="565">
        <f>SUM(B75:M75)</f>
        <v>197700</v>
      </c>
      <c r="O75" s="406">
        <f>SUM(O64:O74)</f>
        <v>197700</v>
      </c>
      <c r="P75" s="276">
        <v>137632.61999999997</v>
      </c>
      <c r="Q75" s="276">
        <f t="shared" si="15"/>
        <v>60067.380000000034</v>
      </c>
      <c r="R75" s="627">
        <f>SUM(R64:R74)</f>
        <v>209700</v>
      </c>
      <c r="S75" s="514">
        <f t="shared" si="16"/>
        <v>-12000</v>
      </c>
      <c r="T75" s="503"/>
      <c r="U75" s="369"/>
      <c r="V75" s="369"/>
      <c r="W75" s="369"/>
    </row>
    <row r="76" spans="1:23" s="267" customFormat="1" ht="10" customHeight="1">
      <c r="A76" s="596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384"/>
      <c r="N76" s="470"/>
      <c r="O76" s="397"/>
      <c r="P76" s="370"/>
      <c r="Q76" s="370"/>
      <c r="R76" s="626"/>
      <c r="S76" s="514">
        <f t="shared" si="16"/>
        <v>0</v>
      </c>
      <c r="T76" s="503"/>
      <c r="U76" s="369"/>
      <c r="V76" s="369"/>
      <c r="W76" s="369"/>
    </row>
    <row r="77" spans="1:23" s="267" customFormat="1" ht="13">
      <c r="A77" s="596" t="s">
        <v>170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379"/>
      <c r="N77" s="470"/>
      <c r="O77" s="397"/>
      <c r="P77" s="370"/>
      <c r="Q77" s="370"/>
      <c r="R77" s="626"/>
      <c r="S77" s="514">
        <f t="shared" si="16"/>
        <v>0</v>
      </c>
      <c r="T77" s="506"/>
      <c r="U77" s="268"/>
      <c r="V77" s="268"/>
      <c r="W77" s="369"/>
    </row>
    <row r="78" spans="1:23" s="267" customFormat="1" ht="13">
      <c r="A78" s="597" t="s">
        <v>67</v>
      </c>
      <c r="B78" s="278">
        <v>0</v>
      </c>
      <c r="C78" s="278">
        <v>0</v>
      </c>
      <c r="D78" s="278">
        <v>0</v>
      </c>
      <c r="E78" s="278">
        <v>0</v>
      </c>
      <c r="F78" s="278">
        <v>7500</v>
      </c>
      <c r="G78" s="278">
        <v>0</v>
      </c>
      <c r="H78" s="278">
        <v>7000</v>
      </c>
      <c r="I78" s="278">
        <v>0</v>
      </c>
      <c r="J78" s="278">
        <v>7000</v>
      </c>
      <c r="K78" s="278">
        <v>0</v>
      </c>
      <c r="L78" s="278">
        <v>0</v>
      </c>
      <c r="M78" s="278">
        <v>0</v>
      </c>
      <c r="N78" s="470">
        <f t="shared" ref="N78:N85" si="18">SUM(B78:M78)</f>
        <v>21500</v>
      </c>
      <c r="O78" s="397">
        <v>21500</v>
      </c>
      <c r="P78" s="271">
        <v>5000</v>
      </c>
      <c r="Q78" s="286">
        <f>N78-P78</f>
        <v>16500</v>
      </c>
      <c r="R78" s="619">
        <v>21500</v>
      </c>
      <c r="S78" s="514">
        <f t="shared" si="16"/>
        <v>0</v>
      </c>
      <c r="T78" s="506"/>
      <c r="U78" s="268"/>
      <c r="V78" s="268"/>
      <c r="W78" s="369"/>
    </row>
    <row r="79" spans="1:23" s="267" customFormat="1" ht="13">
      <c r="A79" s="597" t="s">
        <v>68</v>
      </c>
      <c r="B79" s="278">
        <v>0</v>
      </c>
      <c r="C79" s="278">
        <v>0</v>
      </c>
      <c r="D79" s="278">
        <v>0</v>
      </c>
      <c r="E79" s="278">
        <v>0</v>
      </c>
      <c r="F79" s="278">
        <v>1500</v>
      </c>
      <c r="G79" s="278">
        <v>0</v>
      </c>
      <c r="H79" s="278">
        <v>1500</v>
      </c>
      <c r="I79" s="278">
        <v>0</v>
      </c>
      <c r="J79" s="278">
        <v>1500</v>
      </c>
      <c r="K79" s="278">
        <v>0</v>
      </c>
      <c r="L79" s="278">
        <v>0</v>
      </c>
      <c r="M79" s="278">
        <v>0</v>
      </c>
      <c r="N79" s="470">
        <f t="shared" si="18"/>
        <v>4500</v>
      </c>
      <c r="O79" s="397">
        <v>4500</v>
      </c>
      <c r="P79" s="271">
        <v>0</v>
      </c>
      <c r="Q79" s="286">
        <f t="shared" ref="Q79:Q84" si="19">N79-P79</f>
        <v>4500</v>
      </c>
      <c r="R79" s="619">
        <v>4500</v>
      </c>
      <c r="S79" s="514">
        <f t="shared" si="16"/>
        <v>0</v>
      </c>
      <c r="T79" s="506"/>
      <c r="U79" s="268"/>
      <c r="V79" s="268"/>
      <c r="W79" s="369"/>
    </row>
    <row r="80" spans="1:23" s="267" customFormat="1" ht="13">
      <c r="A80" s="597" t="s">
        <v>69</v>
      </c>
      <c r="B80" s="278">
        <v>0</v>
      </c>
      <c r="C80" s="278">
        <v>0</v>
      </c>
      <c r="D80" s="278">
        <v>0</v>
      </c>
      <c r="E80" s="278">
        <v>0</v>
      </c>
      <c r="F80" s="278">
        <v>6000</v>
      </c>
      <c r="G80" s="278">
        <v>0</v>
      </c>
      <c r="H80" s="278">
        <v>6000</v>
      </c>
      <c r="I80" s="278">
        <v>0</v>
      </c>
      <c r="J80" s="278">
        <v>6000</v>
      </c>
      <c r="K80" s="278">
        <v>0</v>
      </c>
      <c r="L80" s="278">
        <v>0</v>
      </c>
      <c r="M80" s="278">
        <v>0</v>
      </c>
      <c r="N80" s="470">
        <f t="shared" si="18"/>
        <v>18000</v>
      </c>
      <c r="O80" s="397">
        <v>18000</v>
      </c>
      <c r="P80" s="271">
        <v>7500</v>
      </c>
      <c r="Q80" s="286">
        <f t="shared" si="19"/>
        <v>10500</v>
      </c>
      <c r="R80" s="619">
        <v>18000</v>
      </c>
      <c r="S80" s="514">
        <f t="shared" si="16"/>
        <v>0</v>
      </c>
      <c r="T80" s="506"/>
      <c r="U80" s="268"/>
      <c r="V80" s="268"/>
      <c r="W80" s="369"/>
    </row>
    <row r="81" spans="1:23" s="267" customFormat="1" ht="13">
      <c r="A81" s="597" t="s">
        <v>70</v>
      </c>
      <c r="B81" s="278">
        <v>0</v>
      </c>
      <c r="C81" s="278">
        <v>0</v>
      </c>
      <c r="D81" s="278">
        <v>0</v>
      </c>
      <c r="E81" s="278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78">
        <v>0</v>
      </c>
      <c r="N81" s="470">
        <f t="shared" si="18"/>
        <v>0</v>
      </c>
      <c r="O81" s="397">
        <v>0</v>
      </c>
      <c r="P81" s="271">
        <v>0</v>
      </c>
      <c r="Q81" s="286">
        <f t="shared" si="19"/>
        <v>0</v>
      </c>
      <c r="R81" s="619">
        <v>0</v>
      </c>
      <c r="S81" s="514">
        <f t="shared" si="16"/>
        <v>0</v>
      </c>
      <c r="T81" s="506"/>
      <c r="U81" s="268"/>
      <c r="V81" s="268"/>
      <c r="W81" s="369"/>
    </row>
    <row r="82" spans="1:23" s="267" customFormat="1" ht="13">
      <c r="A82" s="597" t="s">
        <v>71</v>
      </c>
      <c r="B82" s="278">
        <v>0</v>
      </c>
      <c r="C82" s="278">
        <v>0</v>
      </c>
      <c r="D82" s="278">
        <v>0</v>
      </c>
      <c r="E82" s="278">
        <v>0</v>
      </c>
      <c r="F82" s="278"/>
      <c r="G82" s="278">
        <v>4300</v>
      </c>
      <c r="H82" s="278">
        <v>0</v>
      </c>
      <c r="I82" s="278">
        <v>4300</v>
      </c>
      <c r="J82" s="278">
        <v>0</v>
      </c>
      <c r="K82" s="278">
        <v>4300</v>
      </c>
      <c r="L82" s="278">
        <v>0</v>
      </c>
      <c r="M82" s="278">
        <v>0</v>
      </c>
      <c r="N82" s="470">
        <f t="shared" si="18"/>
        <v>12900</v>
      </c>
      <c r="O82" s="397">
        <v>12900</v>
      </c>
      <c r="P82" s="271">
        <v>0</v>
      </c>
      <c r="Q82" s="286">
        <f t="shared" si="19"/>
        <v>12900</v>
      </c>
      <c r="R82" s="619">
        <v>12900</v>
      </c>
      <c r="S82" s="514">
        <f t="shared" si="16"/>
        <v>0</v>
      </c>
      <c r="T82" s="506"/>
      <c r="U82" s="268"/>
      <c r="V82" s="268"/>
      <c r="W82" s="369"/>
    </row>
    <row r="83" spans="1:23" s="267" customFormat="1" ht="13">
      <c r="A83" s="597" t="s">
        <v>72</v>
      </c>
      <c r="B83" s="278">
        <v>0</v>
      </c>
      <c r="C83" s="278">
        <v>0</v>
      </c>
      <c r="D83" s="278">
        <v>0</v>
      </c>
      <c r="E83" s="278">
        <v>0</v>
      </c>
      <c r="F83" s="278">
        <v>8400</v>
      </c>
      <c r="G83" s="278">
        <v>0</v>
      </c>
      <c r="H83" s="278">
        <v>8400</v>
      </c>
      <c r="I83" s="278">
        <v>0</v>
      </c>
      <c r="J83" s="278">
        <v>8400</v>
      </c>
      <c r="K83" s="278">
        <v>0</v>
      </c>
      <c r="L83" s="278">
        <v>0</v>
      </c>
      <c r="M83" s="278">
        <v>0</v>
      </c>
      <c r="N83" s="470">
        <f t="shared" si="18"/>
        <v>25200</v>
      </c>
      <c r="O83" s="397">
        <v>25200</v>
      </c>
      <c r="P83" s="271">
        <v>0</v>
      </c>
      <c r="Q83" s="286">
        <f t="shared" si="19"/>
        <v>25200</v>
      </c>
      <c r="R83" s="619">
        <v>25200</v>
      </c>
      <c r="S83" s="514">
        <f t="shared" si="16"/>
        <v>0</v>
      </c>
      <c r="T83" s="506"/>
      <c r="U83" s="268"/>
      <c r="V83" s="268"/>
      <c r="W83" s="369"/>
    </row>
    <row r="84" spans="1:23" s="267" customFormat="1" ht="13">
      <c r="A84" s="597" t="s">
        <v>73</v>
      </c>
      <c r="B84" s="278">
        <v>0</v>
      </c>
      <c r="C84" s="278">
        <v>0</v>
      </c>
      <c r="D84" s="278">
        <v>0</v>
      </c>
      <c r="E84" s="278">
        <v>0</v>
      </c>
      <c r="F84" s="278">
        <v>9000</v>
      </c>
      <c r="G84" s="278">
        <v>0</v>
      </c>
      <c r="H84" s="278">
        <v>9000</v>
      </c>
      <c r="I84" s="278">
        <v>0</v>
      </c>
      <c r="J84" s="278">
        <v>9000</v>
      </c>
      <c r="K84" s="278">
        <v>0</v>
      </c>
      <c r="L84" s="278">
        <v>0</v>
      </c>
      <c r="M84" s="278">
        <v>0</v>
      </c>
      <c r="N84" s="470">
        <f t="shared" si="18"/>
        <v>27000</v>
      </c>
      <c r="O84" s="397">
        <v>27000</v>
      </c>
      <c r="P84" s="271">
        <v>15442</v>
      </c>
      <c r="Q84" s="286">
        <f t="shared" si="19"/>
        <v>11558</v>
      </c>
      <c r="R84" s="619">
        <v>27000</v>
      </c>
      <c r="S84" s="514">
        <f t="shared" si="16"/>
        <v>0</v>
      </c>
      <c r="T84" s="503"/>
      <c r="U84" s="369"/>
      <c r="V84" s="369"/>
      <c r="W84" s="369"/>
    </row>
    <row r="85" spans="1:23" s="267" customFormat="1" ht="17" customHeight="1">
      <c r="A85" s="596" t="s">
        <v>236</v>
      </c>
      <c r="B85" s="469">
        <f>SUM(B78:B84)</f>
        <v>0</v>
      </c>
      <c r="C85" s="469">
        <f t="shared" ref="C85:M85" si="20">SUM(C78:C84)</f>
        <v>0</v>
      </c>
      <c r="D85" s="469">
        <f t="shared" si="20"/>
        <v>0</v>
      </c>
      <c r="E85" s="469">
        <f t="shared" si="20"/>
        <v>0</v>
      </c>
      <c r="F85" s="469">
        <f t="shared" si="20"/>
        <v>32400</v>
      </c>
      <c r="G85" s="469">
        <f t="shared" si="20"/>
        <v>4300</v>
      </c>
      <c r="H85" s="469">
        <f t="shared" si="20"/>
        <v>31900</v>
      </c>
      <c r="I85" s="469">
        <f t="shared" si="20"/>
        <v>4300</v>
      </c>
      <c r="J85" s="469">
        <f t="shared" si="20"/>
        <v>31900</v>
      </c>
      <c r="K85" s="469">
        <f t="shared" si="20"/>
        <v>4300</v>
      </c>
      <c r="L85" s="469">
        <f t="shared" si="20"/>
        <v>0</v>
      </c>
      <c r="M85" s="581">
        <f t="shared" si="20"/>
        <v>0</v>
      </c>
      <c r="N85" s="562">
        <f t="shared" si="18"/>
        <v>109100</v>
      </c>
      <c r="O85" s="399">
        <f>0+SUM(O78:O84)</f>
        <v>109100</v>
      </c>
      <c r="P85" s="276">
        <v>27942</v>
      </c>
      <c r="Q85" s="276">
        <f>N85-P85</f>
        <v>81158</v>
      </c>
      <c r="R85" s="628">
        <f>0+SUM(R78:R84)</f>
        <v>109100</v>
      </c>
      <c r="S85" s="514">
        <f t="shared" si="16"/>
        <v>0</v>
      </c>
      <c r="T85" s="503"/>
      <c r="U85" s="369"/>
      <c r="V85" s="369"/>
      <c r="W85" s="369"/>
    </row>
    <row r="86" spans="1:23" s="267" customFormat="1" ht="6" hidden="1" customHeight="1">
      <c r="A86" s="596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384"/>
      <c r="N86" s="470"/>
      <c r="O86" s="397"/>
      <c r="P86" s="370"/>
      <c r="Q86" s="370"/>
      <c r="R86" s="626"/>
      <c r="S86" s="514">
        <f t="shared" si="16"/>
        <v>0</v>
      </c>
      <c r="T86" s="503"/>
      <c r="U86" s="369"/>
      <c r="V86" s="369"/>
      <c r="W86" s="369"/>
    </row>
    <row r="87" spans="1:23" s="267" customFormat="1" ht="13" hidden="1">
      <c r="A87" s="606" t="s">
        <v>172</v>
      </c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379"/>
      <c r="N87" s="470"/>
      <c r="O87" s="397"/>
      <c r="P87" s="370"/>
      <c r="Q87" s="370"/>
      <c r="R87" s="626"/>
      <c r="S87" s="514">
        <f t="shared" si="16"/>
        <v>0</v>
      </c>
      <c r="T87" s="503"/>
      <c r="U87" s="369"/>
      <c r="V87" s="369"/>
      <c r="W87" s="369"/>
    </row>
    <row r="88" spans="1:23" s="267" customFormat="1" ht="13" hidden="1">
      <c r="A88" s="607" t="s">
        <v>173</v>
      </c>
      <c r="B88" s="278" t="e">
        <f>#REF!-#REF!</f>
        <v>#REF!</v>
      </c>
      <c r="C88" s="278" t="e">
        <f>#REF!-#REF!</f>
        <v>#REF!</v>
      </c>
      <c r="D88" s="278" t="e">
        <f>B88-#REF!</f>
        <v>#REF!</v>
      </c>
      <c r="E88" s="278" t="e">
        <f t="shared" ref="E88:M88" si="21">C88-B88</f>
        <v>#REF!</v>
      </c>
      <c r="F88" s="278" t="e">
        <f t="shared" si="21"/>
        <v>#REF!</v>
      </c>
      <c r="G88" s="278" t="e">
        <f t="shared" si="21"/>
        <v>#REF!</v>
      </c>
      <c r="H88" s="278" t="e">
        <f t="shared" si="21"/>
        <v>#REF!</v>
      </c>
      <c r="I88" s="278" t="e">
        <f t="shared" si="21"/>
        <v>#REF!</v>
      </c>
      <c r="J88" s="278" t="e">
        <f t="shared" si="21"/>
        <v>#REF!</v>
      </c>
      <c r="K88" s="278" t="e">
        <f t="shared" si="21"/>
        <v>#REF!</v>
      </c>
      <c r="L88" s="278" t="e">
        <f t="shared" si="21"/>
        <v>#REF!</v>
      </c>
      <c r="M88" s="379" t="e">
        <f t="shared" si="21"/>
        <v>#REF!</v>
      </c>
      <c r="N88" s="470"/>
      <c r="O88" s="397"/>
      <c r="P88" s="370"/>
      <c r="Q88" s="370"/>
      <c r="R88" s="626"/>
      <c r="S88" s="514">
        <f t="shared" si="16"/>
        <v>0</v>
      </c>
      <c r="T88" s="503"/>
      <c r="U88" s="369"/>
      <c r="V88" s="369"/>
      <c r="W88" s="369"/>
    </row>
    <row r="89" spans="1:23" s="267" customFormat="1" ht="13" hidden="1">
      <c r="A89" s="607" t="s">
        <v>174</v>
      </c>
      <c r="B89" s="278">
        <f>0</f>
        <v>0</v>
      </c>
      <c r="C89" s="278">
        <f>0</f>
        <v>0</v>
      </c>
      <c r="D89" s="278">
        <f>0</f>
        <v>0</v>
      </c>
      <c r="E89" s="278">
        <f>0</f>
        <v>0</v>
      </c>
      <c r="F89" s="278">
        <f>0</f>
        <v>0</v>
      </c>
      <c r="G89" s="278">
        <f>0</f>
        <v>0</v>
      </c>
      <c r="H89" s="278">
        <f>0</f>
        <v>0</v>
      </c>
      <c r="I89" s="278">
        <f>0</f>
        <v>0</v>
      </c>
      <c r="J89" s="278">
        <f>0</f>
        <v>0</v>
      </c>
      <c r="K89" s="278">
        <v>0</v>
      </c>
      <c r="L89" s="278">
        <f>0</f>
        <v>0</v>
      </c>
      <c r="M89" s="379">
        <f>0</f>
        <v>0</v>
      </c>
      <c r="N89" s="470"/>
      <c r="O89" s="397"/>
      <c r="P89" s="370"/>
      <c r="Q89" s="370"/>
      <c r="R89" s="626"/>
      <c r="S89" s="514">
        <f t="shared" si="16"/>
        <v>0</v>
      </c>
      <c r="T89" s="503"/>
      <c r="U89" s="369"/>
      <c r="V89" s="369"/>
      <c r="W89" s="369"/>
    </row>
    <row r="90" spans="1:23" s="267" customFormat="1" ht="13" hidden="1">
      <c r="A90" s="606" t="s">
        <v>175</v>
      </c>
      <c r="B90" s="278" t="e">
        <f>SUM(B88:B89)</f>
        <v>#REF!</v>
      </c>
      <c r="C90" s="278" t="e">
        <f t="shared" ref="C90:M90" si="22">SUM(C88:C89)</f>
        <v>#REF!</v>
      </c>
      <c r="D90" s="278" t="e">
        <f t="shared" si="22"/>
        <v>#REF!</v>
      </c>
      <c r="E90" s="278" t="e">
        <f t="shared" si="22"/>
        <v>#REF!</v>
      </c>
      <c r="F90" s="278" t="e">
        <f t="shared" si="22"/>
        <v>#REF!</v>
      </c>
      <c r="G90" s="278" t="e">
        <f t="shared" si="22"/>
        <v>#REF!</v>
      </c>
      <c r="H90" s="278" t="e">
        <f t="shared" si="22"/>
        <v>#REF!</v>
      </c>
      <c r="I90" s="278" t="e">
        <f t="shared" si="22"/>
        <v>#REF!</v>
      </c>
      <c r="J90" s="278" t="e">
        <f t="shared" si="22"/>
        <v>#REF!</v>
      </c>
      <c r="K90" s="278" t="e">
        <f t="shared" si="22"/>
        <v>#REF!</v>
      </c>
      <c r="L90" s="278" t="e">
        <f t="shared" si="22"/>
        <v>#REF!</v>
      </c>
      <c r="M90" s="379" t="e">
        <f t="shared" si="22"/>
        <v>#REF!</v>
      </c>
      <c r="N90" s="470"/>
      <c r="O90" s="397"/>
      <c r="P90" s="370"/>
      <c r="Q90" s="370"/>
      <c r="R90" s="626"/>
      <c r="S90" s="514">
        <f t="shared" si="16"/>
        <v>0</v>
      </c>
      <c r="T90" s="503"/>
      <c r="U90" s="369"/>
      <c r="V90" s="369"/>
      <c r="W90" s="369"/>
    </row>
    <row r="91" spans="1:23" s="267" customFormat="1" ht="15" customHeight="1">
      <c r="A91" s="596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379"/>
      <c r="N91" s="470"/>
      <c r="O91" s="397"/>
      <c r="P91" s="370"/>
      <c r="Q91" s="370"/>
      <c r="R91" s="626"/>
      <c r="S91" s="514">
        <f t="shared" si="16"/>
        <v>0</v>
      </c>
      <c r="T91" s="503"/>
      <c r="U91" s="369"/>
      <c r="V91" s="369"/>
      <c r="W91" s="369"/>
    </row>
    <row r="92" spans="1:23" s="267" customFormat="1" ht="13">
      <c r="A92" s="596" t="s">
        <v>176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379"/>
      <c r="N92" s="470"/>
      <c r="O92" s="397"/>
      <c r="P92" s="133"/>
      <c r="Q92" s="133"/>
      <c r="R92" s="617"/>
      <c r="S92" s="514">
        <f t="shared" si="16"/>
        <v>0</v>
      </c>
      <c r="T92" s="500"/>
    </row>
    <row r="93" spans="1:23" s="267" customFormat="1" ht="13">
      <c r="A93" s="597" t="s">
        <v>177</v>
      </c>
      <c r="B93" s="535">
        <v>1000</v>
      </c>
      <c r="C93" s="535">
        <v>1000</v>
      </c>
      <c r="D93" s="535">
        <v>1000</v>
      </c>
      <c r="E93" s="535">
        <v>1000</v>
      </c>
      <c r="F93" s="535">
        <v>1000</v>
      </c>
      <c r="G93" s="535">
        <v>1000</v>
      </c>
      <c r="H93" s="535">
        <v>1000</v>
      </c>
      <c r="I93" s="535">
        <v>1000</v>
      </c>
      <c r="J93" s="535">
        <v>5000</v>
      </c>
      <c r="K93" s="535">
        <v>1000</v>
      </c>
      <c r="L93" s="535">
        <v>1000</v>
      </c>
      <c r="M93" s="382">
        <v>1000</v>
      </c>
      <c r="N93" s="563">
        <f t="shared" ref="N93:N97" si="23">SUM(B93:M93)</f>
        <v>16000</v>
      </c>
      <c r="O93" s="397">
        <v>16000</v>
      </c>
      <c r="P93" s="271">
        <v>10934</v>
      </c>
      <c r="Q93" s="274">
        <f>N93-P93</f>
        <v>5066</v>
      </c>
      <c r="R93" s="619">
        <v>34200</v>
      </c>
      <c r="S93" s="514">
        <f t="shared" si="16"/>
        <v>-18200</v>
      </c>
      <c r="T93" s="500"/>
    </row>
    <row r="94" spans="1:23" s="267" customFormat="1" ht="13">
      <c r="A94" s="597" t="s">
        <v>178</v>
      </c>
      <c r="B94" s="278">
        <v>1400</v>
      </c>
      <c r="C94" s="278">
        <v>1400</v>
      </c>
      <c r="D94" s="278">
        <v>1400</v>
      </c>
      <c r="E94" s="278">
        <v>1400</v>
      </c>
      <c r="F94" s="278">
        <v>1400</v>
      </c>
      <c r="G94" s="278">
        <v>1400</v>
      </c>
      <c r="H94" s="278">
        <v>1400</v>
      </c>
      <c r="I94" s="278">
        <v>1400</v>
      </c>
      <c r="J94" s="278">
        <v>1400</v>
      </c>
      <c r="K94" s="278">
        <v>3400</v>
      </c>
      <c r="L94" s="278">
        <v>3400</v>
      </c>
      <c r="M94" s="379">
        <v>3400</v>
      </c>
      <c r="N94" s="470">
        <f t="shared" si="23"/>
        <v>22800</v>
      </c>
      <c r="O94" s="397">
        <v>22800</v>
      </c>
      <c r="P94" s="271">
        <v>40387.379999999997</v>
      </c>
      <c r="Q94" s="274">
        <f>N94-P94</f>
        <v>-17587.379999999997</v>
      </c>
      <c r="R94" s="619">
        <v>52000</v>
      </c>
      <c r="S94" s="514">
        <f t="shared" si="16"/>
        <v>-29200</v>
      </c>
      <c r="T94" s="500"/>
    </row>
    <row r="95" spans="1:23" s="267" customFormat="1" ht="13">
      <c r="A95" s="597" t="s">
        <v>180</v>
      </c>
      <c r="B95" s="278">
        <v>0</v>
      </c>
      <c r="C95" s="278">
        <v>0</v>
      </c>
      <c r="D95" s="278">
        <v>0</v>
      </c>
      <c r="E95" s="278">
        <v>0</v>
      </c>
      <c r="F95" s="278">
        <v>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379">
        <v>0</v>
      </c>
      <c r="N95" s="470">
        <f t="shared" si="23"/>
        <v>0</v>
      </c>
      <c r="O95" s="397">
        <v>0</v>
      </c>
      <c r="P95" s="271"/>
      <c r="Q95" s="274"/>
      <c r="R95" s="619">
        <v>0</v>
      </c>
      <c r="S95" s="514">
        <f t="shared" si="16"/>
        <v>0</v>
      </c>
      <c r="T95" s="500"/>
    </row>
    <row r="96" spans="1:23" s="267" customFormat="1" ht="13">
      <c r="A96" s="597" t="s">
        <v>181</v>
      </c>
      <c r="B96" s="278">
        <v>0</v>
      </c>
      <c r="C96" s="278">
        <v>0</v>
      </c>
      <c r="D96" s="278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379">
        <v>0</v>
      </c>
      <c r="N96" s="470">
        <f t="shared" si="23"/>
        <v>0</v>
      </c>
      <c r="O96" s="397">
        <v>0</v>
      </c>
      <c r="P96" s="271"/>
      <c r="Q96" s="274"/>
      <c r="R96" s="619">
        <v>0</v>
      </c>
      <c r="S96" s="514">
        <f t="shared" si="16"/>
        <v>0</v>
      </c>
      <c r="T96" s="500"/>
    </row>
    <row r="97" spans="1:20" s="267" customFormat="1" ht="13">
      <c r="A97" s="597" t="s">
        <v>182</v>
      </c>
      <c r="B97" s="278">
        <v>1000</v>
      </c>
      <c r="C97" s="278">
        <v>1000</v>
      </c>
      <c r="D97" s="278">
        <v>1000</v>
      </c>
      <c r="E97" s="278">
        <v>1000</v>
      </c>
      <c r="F97" s="278">
        <v>1500</v>
      </c>
      <c r="G97" s="278">
        <v>1000</v>
      </c>
      <c r="H97" s="278">
        <v>1000</v>
      </c>
      <c r="I97" s="278">
        <v>1000</v>
      </c>
      <c r="J97" s="278">
        <v>1000</v>
      </c>
      <c r="K97" s="278">
        <v>1000</v>
      </c>
      <c r="L97" s="278">
        <v>1000</v>
      </c>
      <c r="M97" s="379">
        <v>1000</v>
      </c>
      <c r="N97" s="470">
        <f t="shared" si="23"/>
        <v>12500</v>
      </c>
      <c r="O97" s="397">
        <v>12500</v>
      </c>
      <c r="P97" s="271"/>
      <c r="Q97" s="274"/>
      <c r="R97" s="619">
        <v>12500</v>
      </c>
      <c r="S97" s="514">
        <f t="shared" si="16"/>
        <v>0</v>
      </c>
      <c r="T97" s="500"/>
    </row>
    <row r="98" spans="1:20" s="267" customFormat="1" ht="13">
      <c r="A98" s="597" t="s">
        <v>184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379"/>
      <c r="N98" s="564"/>
      <c r="O98" s="397"/>
      <c r="P98" s="271"/>
      <c r="Q98" s="274">
        <f>N98-P98</f>
        <v>0</v>
      </c>
      <c r="R98" s="619"/>
      <c r="S98" s="514">
        <f t="shared" si="16"/>
        <v>0</v>
      </c>
      <c r="T98" s="500"/>
    </row>
    <row r="99" spans="1:20" s="267" customFormat="1" ht="13">
      <c r="A99" s="597" t="s">
        <v>186</v>
      </c>
      <c r="B99" s="278">
        <v>0</v>
      </c>
      <c r="C99" s="278">
        <v>0</v>
      </c>
      <c r="D99" s="278">
        <v>0</v>
      </c>
      <c r="E99" s="278">
        <v>0</v>
      </c>
      <c r="F99" s="278">
        <v>0</v>
      </c>
      <c r="G99" s="278">
        <v>0</v>
      </c>
      <c r="H99" s="278">
        <v>0</v>
      </c>
      <c r="I99" s="278">
        <v>0</v>
      </c>
      <c r="J99" s="278">
        <v>0</v>
      </c>
      <c r="K99" s="278">
        <v>3500</v>
      </c>
      <c r="L99" s="278">
        <v>0</v>
      </c>
      <c r="M99" s="379">
        <v>0</v>
      </c>
      <c r="N99" s="566">
        <f>SUM(B99:M99)</f>
        <v>3500</v>
      </c>
      <c r="O99" s="397">
        <v>3500</v>
      </c>
      <c r="P99" s="271">
        <v>0</v>
      </c>
      <c r="Q99" s="274">
        <f>N99-P99</f>
        <v>3500</v>
      </c>
      <c r="R99" s="619">
        <v>7000</v>
      </c>
      <c r="S99" s="514">
        <f t="shared" si="16"/>
        <v>-3500</v>
      </c>
      <c r="T99" s="500"/>
    </row>
    <row r="100" spans="1:20" s="267" customFormat="1" ht="13">
      <c r="A100" s="597" t="s">
        <v>187</v>
      </c>
      <c r="B100" s="278">
        <v>0</v>
      </c>
      <c r="C100" s="278">
        <v>0</v>
      </c>
      <c r="D100" s="278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78">
        <v>0</v>
      </c>
      <c r="K100" s="278">
        <v>1500</v>
      </c>
      <c r="L100" s="278">
        <v>0</v>
      </c>
      <c r="M100" s="379">
        <v>0</v>
      </c>
      <c r="N100" s="566">
        <f t="shared" ref="N100:N106" si="24">SUM(B100:M100)</f>
        <v>1500</v>
      </c>
      <c r="O100" s="397">
        <v>1500</v>
      </c>
      <c r="P100" s="271">
        <v>11057.409999999998</v>
      </c>
      <c r="Q100" s="274">
        <f>N100-P100</f>
        <v>-9557.409999999998</v>
      </c>
      <c r="R100" s="619">
        <v>3000</v>
      </c>
      <c r="S100" s="514">
        <f t="shared" si="16"/>
        <v>-1500</v>
      </c>
      <c r="T100" s="500"/>
    </row>
    <row r="101" spans="1:20" s="267" customFormat="1" ht="13">
      <c r="A101" s="597" t="s">
        <v>188</v>
      </c>
      <c r="B101" s="278">
        <v>0</v>
      </c>
      <c r="C101" s="278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278">
        <v>1000</v>
      </c>
      <c r="L101" s="278">
        <v>0</v>
      </c>
      <c r="M101" s="379">
        <v>0</v>
      </c>
      <c r="N101" s="566">
        <f>SUM(B101:M101)</f>
        <v>1000</v>
      </c>
      <c r="O101" s="397">
        <v>1000</v>
      </c>
      <c r="P101" s="271">
        <v>5082.8500000000004</v>
      </c>
      <c r="Q101" s="274">
        <f>N101-P101</f>
        <v>-4082.8500000000004</v>
      </c>
      <c r="R101" s="619">
        <v>2000</v>
      </c>
      <c r="S101" s="514">
        <f t="shared" si="16"/>
        <v>-1000</v>
      </c>
      <c r="T101" s="500"/>
    </row>
    <row r="102" spans="1:20" s="267" customFormat="1" ht="13">
      <c r="A102" s="597" t="s">
        <v>189</v>
      </c>
      <c r="B102" s="278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278">
        <v>1000</v>
      </c>
      <c r="L102" s="278">
        <v>0</v>
      </c>
      <c r="M102" s="379">
        <v>0</v>
      </c>
      <c r="N102" s="566">
        <f t="shared" si="24"/>
        <v>1000</v>
      </c>
      <c r="O102" s="397">
        <v>1000</v>
      </c>
      <c r="P102" s="271">
        <v>7928.23</v>
      </c>
      <c r="Q102" s="274">
        <f>N102-P102</f>
        <v>-6928.23</v>
      </c>
      <c r="R102" s="619">
        <v>2000</v>
      </c>
      <c r="S102" s="514">
        <f t="shared" si="16"/>
        <v>-1000</v>
      </c>
      <c r="T102" s="500"/>
    </row>
    <row r="103" spans="1:20" s="267" customFormat="1" ht="13">
      <c r="A103" s="597" t="s">
        <v>190</v>
      </c>
      <c r="B103" s="278">
        <v>0</v>
      </c>
      <c r="C103" s="278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278">
        <v>2000</v>
      </c>
      <c r="L103" s="278">
        <v>0</v>
      </c>
      <c r="M103" s="379">
        <v>0</v>
      </c>
      <c r="N103" s="566">
        <f t="shared" si="24"/>
        <v>2000</v>
      </c>
      <c r="O103" s="397">
        <v>2000</v>
      </c>
      <c r="P103" s="271"/>
      <c r="Q103" s="274"/>
      <c r="R103" s="619">
        <v>4000</v>
      </c>
      <c r="S103" s="514">
        <f t="shared" si="16"/>
        <v>-2000</v>
      </c>
      <c r="T103" s="500"/>
    </row>
    <row r="104" spans="1:20" s="267" customFormat="1" ht="13">
      <c r="A104" s="608" t="s">
        <v>191</v>
      </c>
      <c r="B104" s="278">
        <v>0</v>
      </c>
      <c r="C104" s="278">
        <v>0</v>
      </c>
      <c r="D104" s="278">
        <v>0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K104" s="278">
        <v>1000</v>
      </c>
      <c r="L104" s="278">
        <v>0</v>
      </c>
      <c r="M104" s="379">
        <v>0</v>
      </c>
      <c r="N104" s="566">
        <f t="shared" si="24"/>
        <v>1000</v>
      </c>
      <c r="O104" s="397">
        <v>1000</v>
      </c>
      <c r="P104" s="271"/>
      <c r="Q104" s="274"/>
      <c r="R104" s="619">
        <v>2000</v>
      </c>
      <c r="S104" s="514">
        <f t="shared" si="16"/>
        <v>-1000</v>
      </c>
      <c r="T104" s="500"/>
    </row>
    <row r="105" spans="1:20" s="267" customFormat="1" ht="13">
      <c r="A105" s="609" t="s">
        <v>192</v>
      </c>
      <c r="B105" s="278">
        <v>200</v>
      </c>
      <c r="C105" s="278">
        <v>200</v>
      </c>
      <c r="D105" s="278">
        <v>200</v>
      </c>
      <c r="E105" s="278">
        <v>200</v>
      </c>
      <c r="F105" s="278">
        <v>200</v>
      </c>
      <c r="G105" s="278">
        <v>200</v>
      </c>
      <c r="H105" s="278">
        <v>200</v>
      </c>
      <c r="I105" s="278">
        <v>200</v>
      </c>
      <c r="J105" s="278">
        <v>200</v>
      </c>
      <c r="K105" s="278">
        <v>200</v>
      </c>
      <c r="L105" s="278">
        <v>200</v>
      </c>
      <c r="M105" s="379">
        <v>200</v>
      </c>
      <c r="N105" s="566">
        <f>SUM(B105:M105)</f>
        <v>2400</v>
      </c>
      <c r="O105" s="397">
        <v>2400</v>
      </c>
      <c r="P105" s="271"/>
      <c r="Q105" s="274"/>
      <c r="R105" s="619">
        <v>2400</v>
      </c>
      <c r="S105" s="514">
        <f t="shared" si="16"/>
        <v>0</v>
      </c>
      <c r="T105" s="500"/>
    </row>
    <row r="106" spans="1:20" s="267" customFormat="1" ht="13">
      <c r="A106" s="609" t="s">
        <v>193</v>
      </c>
      <c r="B106" s="278">
        <v>1000</v>
      </c>
      <c r="C106" s="278">
        <v>1000</v>
      </c>
      <c r="D106" s="278">
        <v>2000</v>
      </c>
      <c r="E106" s="278">
        <v>2000</v>
      </c>
      <c r="F106" s="278">
        <v>2000</v>
      </c>
      <c r="G106" s="278">
        <v>2000</v>
      </c>
      <c r="H106" s="278">
        <v>2000</v>
      </c>
      <c r="I106" s="278">
        <v>2000</v>
      </c>
      <c r="J106" s="278">
        <v>2000</v>
      </c>
      <c r="K106" s="278">
        <v>2000</v>
      </c>
      <c r="L106" s="278">
        <v>2000</v>
      </c>
      <c r="M106" s="379">
        <v>2000</v>
      </c>
      <c r="N106" s="566">
        <f t="shared" si="24"/>
        <v>22000</v>
      </c>
      <c r="O106" s="397">
        <v>22000</v>
      </c>
      <c r="P106" s="278"/>
      <c r="Q106" s="286"/>
      <c r="R106" s="619">
        <v>24000</v>
      </c>
      <c r="S106" s="514">
        <f t="shared" si="16"/>
        <v>-2000</v>
      </c>
      <c r="T106" s="500"/>
    </row>
    <row r="107" spans="1:20" s="267" customFormat="1" ht="13">
      <c r="A107" s="609" t="s">
        <v>194</v>
      </c>
      <c r="B107" s="278">
        <v>2000</v>
      </c>
      <c r="C107" s="278">
        <v>2000</v>
      </c>
      <c r="D107" s="278">
        <v>2000</v>
      </c>
      <c r="E107" s="278">
        <v>2000</v>
      </c>
      <c r="F107" s="278">
        <v>2000</v>
      </c>
      <c r="G107" s="278">
        <v>3000</v>
      </c>
      <c r="H107" s="278">
        <v>2000</v>
      </c>
      <c r="I107" s="278">
        <v>2000</v>
      </c>
      <c r="J107" s="278">
        <v>3000</v>
      </c>
      <c r="K107" s="278">
        <v>6000</v>
      </c>
      <c r="L107" s="278">
        <v>4000</v>
      </c>
      <c r="M107" s="379">
        <v>5000</v>
      </c>
      <c r="N107" s="566">
        <f>SUM(B107:M107)</f>
        <v>35000</v>
      </c>
      <c r="O107" s="397">
        <v>35000</v>
      </c>
      <c r="P107" s="278"/>
      <c r="Q107" s="286"/>
      <c r="R107" s="619">
        <v>64000</v>
      </c>
      <c r="S107" s="514">
        <f t="shared" si="16"/>
        <v>-29000</v>
      </c>
      <c r="T107" s="500"/>
    </row>
    <row r="108" spans="1:20" s="267" customFormat="1" ht="13">
      <c r="A108" s="596" t="s">
        <v>92</v>
      </c>
      <c r="B108" s="469">
        <f t="shared" ref="B108:M108" si="25">SUM(B93:B107)</f>
        <v>6600</v>
      </c>
      <c r="C108" s="272">
        <f t="shared" si="25"/>
        <v>6600</v>
      </c>
      <c r="D108" s="469">
        <f t="shared" si="25"/>
        <v>7600</v>
      </c>
      <c r="E108" s="469">
        <f t="shared" si="25"/>
        <v>7600</v>
      </c>
      <c r="F108" s="469">
        <f t="shared" si="25"/>
        <v>8100</v>
      </c>
      <c r="G108" s="469">
        <f t="shared" si="25"/>
        <v>8600</v>
      </c>
      <c r="H108" s="469">
        <f t="shared" si="25"/>
        <v>7600</v>
      </c>
      <c r="I108" s="469">
        <f t="shared" si="25"/>
        <v>7600</v>
      </c>
      <c r="J108" s="469">
        <f t="shared" si="25"/>
        <v>12600</v>
      </c>
      <c r="K108" s="469">
        <f t="shared" si="25"/>
        <v>23600</v>
      </c>
      <c r="L108" s="469">
        <f t="shared" si="25"/>
        <v>11600</v>
      </c>
      <c r="M108" s="581">
        <f t="shared" si="25"/>
        <v>12600</v>
      </c>
      <c r="N108" s="584">
        <f>SUM(B108:M108)</f>
        <v>120700</v>
      </c>
      <c r="O108" s="586">
        <f>SUM(O91:O107)</f>
        <v>120700</v>
      </c>
      <c r="P108" s="276">
        <v>80414.87</v>
      </c>
      <c r="Q108" s="276">
        <f>N108-P108</f>
        <v>40285.130000000005</v>
      </c>
      <c r="R108" s="621">
        <f>SUM(R91:R107)</f>
        <v>209100</v>
      </c>
      <c r="S108" s="514">
        <f t="shared" si="16"/>
        <v>-88400</v>
      </c>
      <c r="T108" s="500"/>
    </row>
    <row r="109" spans="1:20" s="267" customFormat="1" ht="13" customHeight="1">
      <c r="A109" s="596"/>
      <c r="B109" s="272"/>
      <c r="C109" s="369"/>
      <c r="D109" s="272"/>
      <c r="E109" s="272"/>
      <c r="F109" s="272"/>
      <c r="G109" s="272"/>
      <c r="H109" s="272"/>
      <c r="I109" s="272"/>
      <c r="J109" s="272"/>
      <c r="K109" s="272"/>
      <c r="L109" s="272"/>
      <c r="M109" s="384"/>
      <c r="N109" s="470"/>
      <c r="O109" s="397"/>
      <c r="P109" s="133"/>
      <c r="Q109" s="133"/>
      <c r="R109" s="617"/>
      <c r="S109" s="514">
        <f t="shared" si="16"/>
        <v>0</v>
      </c>
      <c r="T109" s="500"/>
    </row>
    <row r="110" spans="1:20" s="267" customFormat="1" ht="14" customHeight="1">
      <c r="A110" s="596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384"/>
      <c r="N110" s="470"/>
      <c r="O110" s="397"/>
      <c r="P110" s="133"/>
      <c r="Q110" s="133"/>
      <c r="R110" s="617"/>
      <c r="S110" s="514">
        <f t="shared" si="16"/>
        <v>0</v>
      </c>
      <c r="T110" s="500"/>
    </row>
    <row r="111" spans="1:20" s="267" customFormat="1" ht="13">
      <c r="A111" s="596" t="s">
        <v>195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379"/>
      <c r="N111" s="470"/>
      <c r="O111" s="397"/>
      <c r="P111" s="133"/>
      <c r="Q111" s="133"/>
      <c r="R111" s="617"/>
      <c r="S111" s="514">
        <f t="shared" si="16"/>
        <v>0</v>
      </c>
      <c r="T111" s="500"/>
    </row>
    <row r="112" spans="1:20" s="267" customFormat="1" ht="13">
      <c r="A112" s="597" t="s">
        <v>196</v>
      </c>
      <c r="B112" s="278">
        <v>0</v>
      </c>
      <c r="C112" s="278">
        <v>0</v>
      </c>
      <c r="D112" s="278">
        <v>0</v>
      </c>
      <c r="E112" s="278">
        <v>0</v>
      </c>
      <c r="F112" s="278">
        <v>0</v>
      </c>
      <c r="G112" s="278">
        <v>0</v>
      </c>
      <c r="H112" s="278">
        <v>0</v>
      </c>
      <c r="I112" s="278">
        <v>0</v>
      </c>
      <c r="J112" s="278">
        <v>0</v>
      </c>
      <c r="K112" s="278">
        <v>0</v>
      </c>
      <c r="L112" s="278">
        <v>0</v>
      </c>
      <c r="M112" s="379">
        <v>0</v>
      </c>
      <c r="N112" s="470">
        <f>SUM(B112:M112)</f>
        <v>0</v>
      </c>
      <c r="O112" s="397">
        <v>0</v>
      </c>
      <c r="P112" s="271">
        <v>11031.75</v>
      </c>
      <c r="Q112" s="274">
        <f>N112-P112</f>
        <v>-11031.75</v>
      </c>
      <c r="R112" s="622">
        <v>0</v>
      </c>
      <c r="S112" s="514">
        <f t="shared" si="16"/>
        <v>0</v>
      </c>
      <c r="T112" s="500"/>
    </row>
    <row r="113" spans="1:20" s="267" customFormat="1" ht="13">
      <c r="A113" s="596" t="s">
        <v>223</v>
      </c>
      <c r="B113" s="469">
        <f t="shared" ref="B113:M113" si="26">SUM(B112:B112)</f>
        <v>0</v>
      </c>
      <c r="C113" s="469">
        <f t="shared" si="26"/>
        <v>0</v>
      </c>
      <c r="D113" s="469">
        <f t="shared" si="26"/>
        <v>0</v>
      </c>
      <c r="E113" s="469">
        <f t="shared" si="26"/>
        <v>0</v>
      </c>
      <c r="F113" s="469">
        <f t="shared" si="26"/>
        <v>0</v>
      </c>
      <c r="G113" s="469">
        <f t="shared" si="26"/>
        <v>0</v>
      </c>
      <c r="H113" s="469">
        <f t="shared" si="26"/>
        <v>0</v>
      </c>
      <c r="I113" s="469">
        <f t="shared" si="26"/>
        <v>0</v>
      </c>
      <c r="J113" s="469">
        <f t="shared" si="26"/>
        <v>0</v>
      </c>
      <c r="K113" s="469">
        <f t="shared" si="26"/>
        <v>0</v>
      </c>
      <c r="L113" s="469">
        <f t="shared" si="26"/>
        <v>0</v>
      </c>
      <c r="M113" s="469">
        <f t="shared" si="26"/>
        <v>0</v>
      </c>
      <c r="N113" s="584">
        <f>SUM(B113:M113)</f>
        <v>0</v>
      </c>
      <c r="O113" s="616">
        <v>0</v>
      </c>
      <c r="P113" s="276">
        <v>18072.3</v>
      </c>
      <c r="Q113" s="276">
        <f>N113-P113</f>
        <v>-18072.3</v>
      </c>
      <c r="R113" s="629">
        <v>0</v>
      </c>
      <c r="S113" s="514">
        <f t="shared" si="16"/>
        <v>0</v>
      </c>
      <c r="T113" s="500"/>
    </row>
    <row r="114" spans="1:20" s="267" customFormat="1" ht="6" customHeight="1">
      <c r="A114" s="596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384"/>
      <c r="N114" s="470"/>
      <c r="O114" s="397"/>
      <c r="P114" s="133"/>
      <c r="Q114" s="133"/>
      <c r="R114" s="617"/>
      <c r="S114" s="514">
        <f t="shared" si="16"/>
        <v>0</v>
      </c>
      <c r="T114" s="500"/>
    </row>
    <row r="115" spans="1:20" s="267" customFormat="1" ht="14.5" customHeight="1">
      <c r="A115" s="596" t="s">
        <v>198</v>
      </c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384"/>
      <c r="N115" s="470"/>
      <c r="O115" s="397"/>
      <c r="P115" s="133"/>
      <c r="Q115" s="133"/>
      <c r="R115" s="617"/>
      <c r="S115" s="514">
        <f t="shared" si="16"/>
        <v>0</v>
      </c>
      <c r="T115" s="500"/>
    </row>
    <row r="116" spans="1:20" s="267" customFormat="1" ht="13">
      <c r="A116" s="597" t="s">
        <v>199</v>
      </c>
      <c r="B116" s="278">
        <v>18000</v>
      </c>
      <c r="C116" s="278">
        <v>18000</v>
      </c>
      <c r="D116" s="278">
        <v>18000</v>
      </c>
      <c r="E116" s="278">
        <v>18000</v>
      </c>
      <c r="F116" s="278">
        <v>18000</v>
      </c>
      <c r="G116" s="278">
        <v>18000</v>
      </c>
      <c r="H116" s="278">
        <v>18000</v>
      </c>
      <c r="I116" s="278">
        <v>18000</v>
      </c>
      <c r="J116" s="278">
        <v>18000</v>
      </c>
      <c r="K116" s="278">
        <v>18000</v>
      </c>
      <c r="L116" s="278">
        <v>18000</v>
      </c>
      <c r="M116" s="379">
        <v>18000</v>
      </c>
      <c r="N116" s="470">
        <f>SUM(B116:M116)</f>
        <v>216000</v>
      </c>
      <c r="O116" s="397">
        <v>216000</v>
      </c>
      <c r="P116" s="271">
        <v>376153.68000000011</v>
      </c>
      <c r="Q116" s="274">
        <f>N116-P116</f>
        <v>-160153.68000000011</v>
      </c>
      <c r="R116" s="619">
        <v>216000</v>
      </c>
      <c r="S116" s="514">
        <f t="shared" si="16"/>
        <v>0</v>
      </c>
      <c r="T116" s="500"/>
    </row>
    <row r="117" spans="1:20" s="267" customFormat="1" ht="13">
      <c r="A117" s="597" t="s">
        <v>200</v>
      </c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379"/>
      <c r="N117" s="470"/>
      <c r="O117" s="397"/>
      <c r="P117" s="271">
        <v>46507.833333333336</v>
      </c>
      <c r="Q117" s="274">
        <f>N117-P117</f>
        <v>-46507.833333333336</v>
      </c>
      <c r="R117" s="619"/>
      <c r="S117" s="514">
        <f t="shared" si="16"/>
        <v>0</v>
      </c>
      <c r="T117" s="507"/>
    </row>
    <row r="118" spans="1:20" s="267" customFormat="1" ht="13">
      <c r="A118" s="610" t="s">
        <v>201</v>
      </c>
      <c r="B118" s="278">
        <v>12500</v>
      </c>
      <c r="C118" s="278">
        <v>12500</v>
      </c>
      <c r="D118" s="278">
        <v>12500</v>
      </c>
      <c r="E118" s="278">
        <v>12500</v>
      </c>
      <c r="F118" s="278">
        <v>12500</v>
      </c>
      <c r="G118" s="278">
        <v>12500</v>
      </c>
      <c r="H118" s="278">
        <v>12500</v>
      </c>
      <c r="I118" s="278">
        <v>12500</v>
      </c>
      <c r="J118" s="278">
        <v>12500</v>
      </c>
      <c r="K118" s="278">
        <v>12500</v>
      </c>
      <c r="L118" s="278">
        <v>12500</v>
      </c>
      <c r="M118" s="379">
        <v>12500</v>
      </c>
      <c r="N118" s="562">
        <f>SUM(B118:M118)</f>
        <v>150000</v>
      </c>
      <c r="O118" s="406">
        <v>150000</v>
      </c>
      <c r="P118" s="271"/>
      <c r="Q118" s="275"/>
      <c r="R118" s="630">
        <v>150000</v>
      </c>
      <c r="S118" s="514">
        <f t="shared" si="16"/>
        <v>0</v>
      </c>
      <c r="T118" s="500"/>
    </row>
    <row r="119" spans="1:20" s="267" customFormat="1" ht="13">
      <c r="A119" s="610" t="s">
        <v>202</v>
      </c>
      <c r="B119" s="278">
        <v>7000</v>
      </c>
      <c r="C119" s="278">
        <v>7000</v>
      </c>
      <c r="D119" s="278">
        <v>7000</v>
      </c>
      <c r="E119" s="278">
        <v>7000</v>
      </c>
      <c r="F119" s="278">
        <v>7000</v>
      </c>
      <c r="G119" s="278">
        <v>7000</v>
      </c>
      <c r="H119" s="278">
        <v>7000</v>
      </c>
      <c r="I119" s="278">
        <v>7000</v>
      </c>
      <c r="J119" s="278">
        <v>7000</v>
      </c>
      <c r="K119" s="278">
        <v>7000</v>
      </c>
      <c r="L119" s="278">
        <v>7000</v>
      </c>
      <c r="M119" s="379">
        <v>7000</v>
      </c>
      <c r="N119" s="562">
        <f t="shared" ref="N119:N128" si="27">SUM(B119:M119)</f>
        <v>84000</v>
      </c>
      <c r="O119" s="406">
        <v>84000</v>
      </c>
      <c r="P119" s="271"/>
      <c r="Q119" s="275"/>
      <c r="R119" s="630">
        <v>84000</v>
      </c>
      <c r="S119" s="514">
        <f t="shared" si="16"/>
        <v>0</v>
      </c>
      <c r="T119" s="500"/>
    </row>
    <row r="120" spans="1:20" s="267" customFormat="1" ht="13">
      <c r="A120" s="610" t="s">
        <v>203</v>
      </c>
      <c r="B120" s="278">
        <v>1700</v>
      </c>
      <c r="C120" s="278">
        <v>1700</v>
      </c>
      <c r="D120" s="278">
        <v>1700</v>
      </c>
      <c r="E120" s="278">
        <v>1700</v>
      </c>
      <c r="F120" s="278">
        <v>1700</v>
      </c>
      <c r="G120" s="278">
        <v>1700</v>
      </c>
      <c r="H120" s="278">
        <v>1700</v>
      </c>
      <c r="I120" s="278">
        <v>1700</v>
      </c>
      <c r="J120" s="278">
        <v>1700</v>
      </c>
      <c r="K120" s="278">
        <v>1700</v>
      </c>
      <c r="L120" s="278">
        <v>1700</v>
      </c>
      <c r="M120" s="379">
        <v>1700</v>
      </c>
      <c r="N120" s="562">
        <f>SUM(B120:M120)</f>
        <v>20400</v>
      </c>
      <c r="O120" s="406">
        <v>20400</v>
      </c>
      <c r="P120" s="271"/>
      <c r="Q120" s="275"/>
      <c r="R120" s="630">
        <v>20400</v>
      </c>
      <c r="S120" s="514">
        <f t="shared" si="16"/>
        <v>0</v>
      </c>
      <c r="T120" s="500"/>
    </row>
    <row r="121" spans="1:20" s="527" customFormat="1" ht="26">
      <c r="A121" s="611" t="s">
        <v>204</v>
      </c>
      <c r="B121" s="520">
        <v>3000</v>
      </c>
      <c r="C121" s="520">
        <v>3000</v>
      </c>
      <c r="D121" s="520">
        <v>3000</v>
      </c>
      <c r="E121" s="520">
        <v>3000</v>
      </c>
      <c r="F121" s="520">
        <v>3000</v>
      </c>
      <c r="G121" s="520">
        <v>3000</v>
      </c>
      <c r="H121" s="520">
        <v>4000</v>
      </c>
      <c r="I121" s="520">
        <v>4000</v>
      </c>
      <c r="J121" s="520">
        <v>4000</v>
      </c>
      <c r="K121" s="520">
        <v>4000</v>
      </c>
      <c r="L121" s="520">
        <v>4000</v>
      </c>
      <c r="M121" s="522">
        <v>4000</v>
      </c>
      <c r="N121" s="567">
        <f t="shared" si="27"/>
        <v>42000</v>
      </c>
      <c r="O121" s="542">
        <v>42000</v>
      </c>
      <c r="P121" s="521"/>
      <c r="Q121" s="543"/>
      <c r="R121" s="631">
        <v>48000</v>
      </c>
      <c r="S121" s="533">
        <f t="shared" si="16"/>
        <v>-6000</v>
      </c>
      <c r="T121" s="526" t="s">
        <v>237</v>
      </c>
    </row>
    <row r="122" spans="1:20" s="267" customFormat="1" ht="13">
      <c r="A122" s="610" t="s">
        <v>205</v>
      </c>
      <c r="B122" s="278">
        <v>500</v>
      </c>
      <c r="C122" s="278">
        <v>500</v>
      </c>
      <c r="D122" s="278">
        <v>500</v>
      </c>
      <c r="E122" s="278">
        <v>500</v>
      </c>
      <c r="F122" s="278">
        <v>500</v>
      </c>
      <c r="G122" s="278">
        <v>500</v>
      </c>
      <c r="H122" s="278">
        <v>500</v>
      </c>
      <c r="I122" s="278">
        <v>500</v>
      </c>
      <c r="J122" s="278">
        <v>500</v>
      </c>
      <c r="K122" s="278">
        <v>500</v>
      </c>
      <c r="L122" s="278">
        <v>500</v>
      </c>
      <c r="M122" s="379">
        <v>500</v>
      </c>
      <c r="N122" s="562">
        <f t="shared" si="27"/>
        <v>6000</v>
      </c>
      <c r="O122" s="406">
        <v>6000</v>
      </c>
      <c r="P122" s="271"/>
      <c r="Q122" s="275"/>
      <c r="R122" s="630">
        <v>6000</v>
      </c>
      <c r="S122" s="514">
        <f t="shared" si="16"/>
        <v>0</v>
      </c>
      <c r="T122" s="500"/>
    </row>
    <row r="123" spans="1:20" s="267" customFormat="1" ht="13">
      <c r="A123" s="610" t="s">
        <v>206</v>
      </c>
      <c r="B123" s="278">
        <v>2000</v>
      </c>
      <c r="C123" s="278">
        <v>2000</v>
      </c>
      <c r="D123" s="278">
        <v>2000</v>
      </c>
      <c r="E123" s="278">
        <v>2000</v>
      </c>
      <c r="F123" s="278">
        <v>2000</v>
      </c>
      <c r="G123" s="278">
        <v>2000</v>
      </c>
      <c r="H123" s="278">
        <v>2000</v>
      </c>
      <c r="I123" s="278">
        <v>2000</v>
      </c>
      <c r="J123" s="278">
        <v>2000</v>
      </c>
      <c r="K123" s="278">
        <v>2000</v>
      </c>
      <c r="L123" s="278">
        <v>2000</v>
      </c>
      <c r="M123" s="379">
        <v>2000</v>
      </c>
      <c r="N123" s="562">
        <f t="shared" si="27"/>
        <v>24000</v>
      </c>
      <c r="O123" s="406">
        <v>24000</v>
      </c>
      <c r="P123" s="271"/>
      <c r="Q123" s="275"/>
      <c r="R123" s="630">
        <v>24000</v>
      </c>
      <c r="S123" s="514">
        <f t="shared" si="16"/>
        <v>0</v>
      </c>
      <c r="T123" s="500"/>
    </row>
    <row r="124" spans="1:20" s="267" customFormat="1" ht="13">
      <c r="A124" s="610" t="s">
        <v>207</v>
      </c>
      <c r="B124" s="278">
        <v>2000</v>
      </c>
      <c r="C124" s="278">
        <v>2000</v>
      </c>
      <c r="D124" s="278">
        <v>2000</v>
      </c>
      <c r="E124" s="278">
        <v>2000</v>
      </c>
      <c r="F124" s="278">
        <v>2000</v>
      </c>
      <c r="G124" s="278">
        <v>2000</v>
      </c>
      <c r="H124" s="278">
        <v>2000</v>
      </c>
      <c r="I124" s="278">
        <v>2000</v>
      </c>
      <c r="J124" s="278">
        <v>2000</v>
      </c>
      <c r="K124" s="278">
        <v>2000</v>
      </c>
      <c r="L124" s="278">
        <v>2000</v>
      </c>
      <c r="M124" s="379">
        <v>2000</v>
      </c>
      <c r="N124" s="562">
        <f>SUM(B124:M124)</f>
        <v>24000</v>
      </c>
      <c r="O124" s="406">
        <v>24000</v>
      </c>
      <c r="P124" s="271"/>
      <c r="Q124" s="275"/>
      <c r="R124" s="630">
        <v>24000</v>
      </c>
      <c r="S124" s="514">
        <f t="shared" si="16"/>
        <v>0</v>
      </c>
      <c r="T124" s="500"/>
    </row>
    <row r="125" spans="1:20" s="527" customFormat="1" ht="26">
      <c r="A125" s="611" t="s">
        <v>208</v>
      </c>
      <c r="B125" s="520">
        <v>0</v>
      </c>
      <c r="C125" s="520">
        <v>0</v>
      </c>
      <c r="D125" s="520">
        <v>0</v>
      </c>
      <c r="E125" s="520">
        <v>0</v>
      </c>
      <c r="F125" s="520">
        <v>0</v>
      </c>
      <c r="G125" s="520">
        <v>0</v>
      </c>
      <c r="H125" s="520">
        <v>4000</v>
      </c>
      <c r="I125" s="520">
        <v>4000</v>
      </c>
      <c r="J125" s="520">
        <v>4000</v>
      </c>
      <c r="K125" s="520">
        <v>4000</v>
      </c>
      <c r="L125" s="520">
        <v>4000</v>
      </c>
      <c r="M125" s="522">
        <v>4000</v>
      </c>
      <c r="N125" s="567">
        <f>SUM(B125:M125)</f>
        <v>24000</v>
      </c>
      <c r="O125" s="542">
        <v>24000</v>
      </c>
      <c r="P125" s="521"/>
      <c r="Q125" s="543"/>
      <c r="R125" s="631">
        <v>48000</v>
      </c>
      <c r="S125" s="533">
        <f t="shared" si="16"/>
        <v>-24000</v>
      </c>
      <c r="T125" s="526" t="s">
        <v>238</v>
      </c>
    </row>
    <row r="126" spans="1:20" s="267" customFormat="1" ht="13">
      <c r="A126" s="610" t="s">
        <v>209</v>
      </c>
      <c r="B126" s="278">
        <v>3000</v>
      </c>
      <c r="C126" s="278">
        <v>3000</v>
      </c>
      <c r="D126" s="278">
        <v>3000</v>
      </c>
      <c r="E126" s="278">
        <v>3000</v>
      </c>
      <c r="F126" s="278">
        <v>3000</v>
      </c>
      <c r="G126" s="278">
        <v>3000</v>
      </c>
      <c r="H126" s="278">
        <v>3000</v>
      </c>
      <c r="I126" s="278">
        <v>3000</v>
      </c>
      <c r="J126" s="278">
        <v>3000</v>
      </c>
      <c r="K126" s="278">
        <v>3000</v>
      </c>
      <c r="L126" s="278">
        <v>3000</v>
      </c>
      <c r="M126" s="379">
        <v>3000</v>
      </c>
      <c r="N126" s="562">
        <f>SUM(B126:M126)</f>
        <v>36000</v>
      </c>
      <c r="O126" s="406">
        <v>36000</v>
      </c>
      <c r="P126" s="271"/>
      <c r="Q126" s="275"/>
      <c r="R126" s="630">
        <v>36000</v>
      </c>
      <c r="S126" s="514">
        <f t="shared" si="16"/>
        <v>0</v>
      </c>
      <c r="T126" s="500"/>
    </row>
    <row r="127" spans="1:20" s="267" customFormat="1" ht="13">
      <c r="A127" s="597" t="s">
        <v>210</v>
      </c>
      <c r="B127" s="278">
        <v>0</v>
      </c>
      <c r="C127" s="278">
        <v>0</v>
      </c>
      <c r="D127" s="278">
        <v>0</v>
      </c>
      <c r="E127" s="278">
        <v>0</v>
      </c>
      <c r="F127" s="278">
        <v>0</v>
      </c>
      <c r="G127" s="278">
        <v>0</v>
      </c>
      <c r="H127" s="278">
        <v>0</v>
      </c>
      <c r="I127" s="278">
        <v>0</v>
      </c>
      <c r="J127" s="278">
        <f>'Payroll Worksheet'!AH23</f>
        <v>0</v>
      </c>
      <c r="K127" s="278">
        <f>'Payroll Worksheet'!AI23</f>
        <v>0</v>
      </c>
      <c r="L127" s="278">
        <f>'Payroll Worksheet'!AJ23</f>
        <v>0</v>
      </c>
      <c r="M127" s="379">
        <f>'Payroll Worksheet'!AK23</f>
        <v>0</v>
      </c>
      <c r="N127" s="562">
        <f t="shared" si="27"/>
        <v>0</v>
      </c>
      <c r="O127" s="406">
        <v>0</v>
      </c>
      <c r="P127" s="271">
        <v>891.46</v>
      </c>
      <c r="Q127" s="274">
        <f>N127-P127</f>
        <v>-891.46</v>
      </c>
      <c r="R127" s="630">
        <v>0</v>
      </c>
      <c r="S127" s="514">
        <f t="shared" si="16"/>
        <v>0</v>
      </c>
      <c r="T127" s="500"/>
    </row>
    <row r="128" spans="1:20" s="267" customFormat="1" ht="13">
      <c r="A128" s="597" t="s">
        <v>211</v>
      </c>
      <c r="B128" s="278">
        <v>0</v>
      </c>
      <c r="C128" s="278">
        <v>0</v>
      </c>
      <c r="D128" s="278">
        <v>0</v>
      </c>
      <c r="E128" s="278">
        <v>0</v>
      </c>
      <c r="F128" s="278">
        <v>0</v>
      </c>
      <c r="G128" s="278">
        <v>0</v>
      </c>
      <c r="H128" s="278">
        <v>0</v>
      </c>
      <c r="I128" s="278">
        <v>0</v>
      </c>
      <c r="J128" s="278">
        <f>'Payroll Worksheet'!AH21</f>
        <v>0</v>
      </c>
      <c r="K128" s="278">
        <f>'Payroll Worksheet'!AI21</f>
        <v>0</v>
      </c>
      <c r="L128" s="278">
        <f>'Payroll Worksheet'!AJ21</f>
        <v>0</v>
      </c>
      <c r="M128" s="379">
        <f>'Payroll Worksheet'!AK21</f>
        <v>0</v>
      </c>
      <c r="N128" s="562">
        <f t="shared" si="27"/>
        <v>0</v>
      </c>
      <c r="O128" s="406">
        <v>0</v>
      </c>
      <c r="P128" s="271">
        <v>11652.939999999999</v>
      </c>
      <c r="Q128" s="274">
        <f>N128-P128</f>
        <v>-11652.939999999999</v>
      </c>
      <c r="R128" s="630">
        <v>0</v>
      </c>
      <c r="S128" s="514">
        <f t="shared" si="16"/>
        <v>0</v>
      </c>
      <c r="T128" s="500"/>
    </row>
    <row r="129" spans="1:20" s="267" customFormat="1" ht="13">
      <c r="A129" s="597" t="s">
        <v>213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379"/>
      <c r="N129" s="562"/>
      <c r="O129" s="406"/>
      <c r="P129" s="271"/>
      <c r="Q129" s="274"/>
      <c r="R129" s="630"/>
      <c r="S129" s="514">
        <f t="shared" si="16"/>
        <v>0</v>
      </c>
      <c r="T129" s="500"/>
    </row>
    <row r="130" spans="1:20" s="267" customFormat="1" ht="13">
      <c r="A130" s="596" t="s">
        <v>214</v>
      </c>
      <c r="B130" s="469">
        <f t="shared" ref="B130:M130" si="28">SUM(B116:B129)</f>
        <v>49700</v>
      </c>
      <c r="C130" s="469">
        <f t="shared" si="28"/>
        <v>49700</v>
      </c>
      <c r="D130" s="469">
        <f t="shared" si="28"/>
        <v>49700</v>
      </c>
      <c r="E130" s="469">
        <f t="shared" si="28"/>
        <v>49700</v>
      </c>
      <c r="F130" s="469">
        <f t="shared" si="28"/>
        <v>49700</v>
      </c>
      <c r="G130" s="469">
        <f t="shared" si="28"/>
        <v>49700</v>
      </c>
      <c r="H130" s="469">
        <f t="shared" si="28"/>
        <v>54700</v>
      </c>
      <c r="I130" s="469">
        <f t="shared" si="28"/>
        <v>54700</v>
      </c>
      <c r="J130" s="469">
        <f t="shared" si="28"/>
        <v>54700</v>
      </c>
      <c r="K130" s="469">
        <f t="shared" si="28"/>
        <v>54700</v>
      </c>
      <c r="L130" s="469">
        <f t="shared" si="28"/>
        <v>54700</v>
      </c>
      <c r="M130" s="581">
        <f t="shared" si="28"/>
        <v>54700</v>
      </c>
      <c r="N130" s="562">
        <f>SUM(B130:M130)</f>
        <v>626400</v>
      </c>
      <c r="O130" s="585">
        <f>SUM(O116:O129)</f>
        <v>626400</v>
      </c>
      <c r="P130" s="276">
        <v>435205.91333333345</v>
      </c>
      <c r="Q130" s="276">
        <f>N130-P130</f>
        <v>191194.08666666655</v>
      </c>
      <c r="R130" s="627">
        <f>SUM(R116:R129)</f>
        <v>656400</v>
      </c>
      <c r="S130" s="514">
        <f t="shared" si="16"/>
        <v>-30000</v>
      </c>
      <c r="T130" s="507"/>
    </row>
    <row r="131" spans="1:20" s="267" customFormat="1" ht="3" customHeight="1" thickBot="1">
      <c r="A131" s="596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384"/>
      <c r="N131" s="470"/>
      <c r="O131" s="397"/>
      <c r="P131" s="133"/>
      <c r="Q131" s="133"/>
      <c r="R131" s="619"/>
      <c r="S131" s="514">
        <f t="shared" si="16"/>
        <v>0</v>
      </c>
      <c r="T131" s="500"/>
    </row>
    <row r="132" spans="1:20" s="458" customFormat="1" ht="14" thickTop="1">
      <c r="A132" s="602" t="s">
        <v>107</v>
      </c>
      <c r="B132" s="446">
        <f t="shared" ref="B132:M132" si="29">B60+B75+B85+B108+B113+B130</f>
        <v>90050</v>
      </c>
      <c r="C132" s="446">
        <f t="shared" si="29"/>
        <v>104350</v>
      </c>
      <c r="D132" s="446">
        <f t="shared" si="29"/>
        <v>74950</v>
      </c>
      <c r="E132" s="446">
        <f t="shared" si="29"/>
        <v>84750</v>
      </c>
      <c r="F132" s="446">
        <f t="shared" si="29"/>
        <v>117150</v>
      </c>
      <c r="G132" s="446">
        <f t="shared" si="29"/>
        <v>79550</v>
      </c>
      <c r="H132" s="446">
        <f t="shared" si="29"/>
        <v>128650</v>
      </c>
      <c r="I132" s="446">
        <f t="shared" si="29"/>
        <v>104050</v>
      </c>
      <c r="J132" s="446">
        <f t="shared" si="29"/>
        <v>142750</v>
      </c>
      <c r="K132" s="446">
        <f t="shared" si="29"/>
        <v>157550</v>
      </c>
      <c r="L132" s="446">
        <f t="shared" si="29"/>
        <v>97250</v>
      </c>
      <c r="M132" s="447">
        <f t="shared" si="29"/>
        <v>102250</v>
      </c>
      <c r="N132" s="587">
        <f>SUM(B132:M132)</f>
        <v>1283300</v>
      </c>
      <c r="O132" s="588">
        <f>O60+O75+O85+O108+O113+O130</f>
        <v>1283300</v>
      </c>
      <c r="P132" s="453">
        <v>791196.94333333336</v>
      </c>
      <c r="Q132" s="456">
        <f>N132-P132</f>
        <v>492103.05666666664</v>
      </c>
      <c r="R132" s="632">
        <f>R60+R75+R85+R108+R113+R130</f>
        <v>1425700</v>
      </c>
      <c r="S132" s="514">
        <f t="shared" si="16"/>
        <v>-142400</v>
      </c>
      <c r="T132" s="508"/>
    </row>
    <row r="133" spans="1:20" s="368" customFormat="1" ht="13" thickBot="1">
      <c r="A133" s="596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384"/>
      <c r="N133" s="589"/>
      <c r="O133" s="590"/>
      <c r="P133" s="285"/>
      <c r="Q133" s="285"/>
      <c r="R133" s="619"/>
      <c r="S133" s="514">
        <f t="shared" si="16"/>
        <v>0</v>
      </c>
      <c r="T133" s="502"/>
    </row>
    <row r="134" spans="1:20" s="466" customFormat="1" ht="22" customHeight="1" thickBot="1">
      <c r="A134" s="591" t="s">
        <v>224</v>
      </c>
      <c r="B134" s="460">
        <f t="shared" ref="B134:O134" si="30">B48-B132</f>
        <v>-23050</v>
      </c>
      <c r="C134" s="460">
        <f t="shared" si="30"/>
        <v>-45650</v>
      </c>
      <c r="D134" s="460">
        <f t="shared" si="30"/>
        <v>-23300</v>
      </c>
      <c r="E134" s="460">
        <f t="shared" si="30"/>
        <v>-19150</v>
      </c>
      <c r="F134" s="460">
        <f t="shared" si="30"/>
        <v>-8050</v>
      </c>
      <c r="G134" s="460">
        <f t="shared" si="30"/>
        <v>37700</v>
      </c>
      <c r="H134" s="460">
        <f t="shared" si="30"/>
        <v>-20150</v>
      </c>
      <c r="I134" s="460">
        <f t="shared" si="30"/>
        <v>29950</v>
      </c>
      <c r="J134" s="460">
        <f t="shared" si="30"/>
        <v>-15450</v>
      </c>
      <c r="K134" s="460">
        <f t="shared" si="30"/>
        <v>144950</v>
      </c>
      <c r="L134" s="460">
        <f t="shared" si="30"/>
        <v>41150</v>
      </c>
      <c r="M134" s="461">
        <f t="shared" si="30"/>
        <v>81150</v>
      </c>
      <c r="N134" s="568">
        <f t="shared" si="30"/>
        <v>180100</v>
      </c>
      <c r="O134" s="463">
        <f t="shared" si="30"/>
        <v>180100</v>
      </c>
      <c r="P134" s="460">
        <v>388579.43666666653</v>
      </c>
      <c r="Q134" s="464"/>
      <c r="R134" s="633">
        <f>R48-R132</f>
        <v>1046400</v>
      </c>
      <c r="S134" s="514">
        <f t="shared" si="16"/>
        <v>-866300</v>
      </c>
      <c r="T134" s="509"/>
    </row>
    <row r="135" spans="1:20" s="267" customFormat="1" ht="12">
      <c r="A135" s="597"/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387"/>
      <c r="N135" s="470"/>
      <c r="O135" s="397"/>
      <c r="P135" s="133"/>
      <c r="Q135" s="133"/>
      <c r="R135" s="617"/>
      <c r="S135" s="531"/>
      <c r="T135" s="500"/>
    </row>
    <row r="136" spans="1:20" s="285" customFormat="1" ht="12">
      <c r="A136" s="612" t="s">
        <v>215</v>
      </c>
      <c r="B136" s="287">
        <v>165477</v>
      </c>
      <c r="C136" s="287">
        <f t="shared" ref="C136:M136" si="31">B138</f>
        <v>142427</v>
      </c>
      <c r="D136" s="537">
        <f t="shared" si="31"/>
        <v>96777</v>
      </c>
      <c r="E136" s="287">
        <f t="shared" si="31"/>
        <v>73477</v>
      </c>
      <c r="F136" s="287">
        <f t="shared" si="31"/>
        <v>54327</v>
      </c>
      <c r="G136" s="287">
        <f t="shared" si="31"/>
        <v>46277</v>
      </c>
      <c r="H136" s="287">
        <f t="shared" si="31"/>
        <v>83977</v>
      </c>
      <c r="I136" s="287">
        <f t="shared" si="31"/>
        <v>63827</v>
      </c>
      <c r="J136" s="287">
        <f t="shared" si="31"/>
        <v>93777</v>
      </c>
      <c r="K136" s="287">
        <f t="shared" si="31"/>
        <v>78327</v>
      </c>
      <c r="L136" s="287">
        <f t="shared" si="31"/>
        <v>223277</v>
      </c>
      <c r="M136" s="383">
        <f t="shared" si="31"/>
        <v>264427</v>
      </c>
      <c r="N136" s="470"/>
      <c r="O136" s="397"/>
      <c r="P136" s="275" t="e">
        <f>P123+#REF!+P69</f>
        <v>#REF!</v>
      </c>
      <c r="Q136" s="275"/>
      <c r="R136" s="634"/>
      <c r="S136" s="531"/>
      <c r="T136" s="510"/>
    </row>
    <row r="137" spans="1:20" s="267" customFormat="1" ht="12">
      <c r="A137" s="598"/>
      <c r="B137" s="414"/>
      <c r="C137" s="414"/>
      <c r="D137" s="537"/>
      <c r="E137" s="414"/>
      <c r="F137" s="414"/>
      <c r="G137" s="414"/>
      <c r="H137" s="414"/>
      <c r="I137" s="414"/>
      <c r="J137" s="414"/>
      <c r="K137" s="414"/>
      <c r="L137" s="414"/>
      <c r="M137" s="385"/>
      <c r="N137" s="470"/>
      <c r="O137" s="397"/>
      <c r="P137" s="133"/>
      <c r="Q137" s="133"/>
      <c r="R137" s="617"/>
      <c r="S137" s="531"/>
      <c r="T137" s="500"/>
    </row>
    <row r="138" spans="1:20" s="376" customFormat="1" ht="12">
      <c r="A138" s="613" t="s">
        <v>216</v>
      </c>
      <c r="B138" s="415">
        <f>B134+B136</f>
        <v>142427</v>
      </c>
      <c r="C138" s="415">
        <f t="shared" ref="C138:M138" si="32">C134+C136</f>
        <v>96777</v>
      </c>
      <c r="D138" s="538">
        <f t="shared" si="32"/>
        <v>73477</v>
      </c>
      <c r="E138" s="415">
        <f t="shared" si="32"/>
        <v>54327</v>
      </c>
      <c r="F138" s="415">
        <f t="shared" si="32"/>
        <v>46277</v>
      </c>
      <c r="G138" s="415">
        <f t="shared" si="32"/>
        <v>83977</v>
      </c>
      <c r="H138" s="415">
        <f t="shared" si="32"/>
        <v>63827</v>
      </c>
      <c r="I138" s="415">
        <f t="shared" si="32"/>
        <v>93777</v>
      </c>
      <c r="J138" s="415">
        <f t="shared" si="32"/>
        <v>78327</v>
      </c>
      <c r="K138" s="415">
        <f t="shared" si="32"/>
        <v>223277</v>
      </c>
      <c r="L138" s="415">
        <f t="shared" si="32"/>
        <v>264427</v>
      </c>
      <c r="M138" s="390">
        <f t="shared" si="32"/>
        <v>345577</v>
      </c>
      <c r="N138" s="470"/>
      <c r="O138" s="397"/>
      <c r="P138" s="373"/>
      <c r="Q138" s="373"/>
      <c r="R138" s="635"/>
      <c r="S138" s="531"/>
      <c r="T138" s="511"/>
    </row>
    <row r="139" spans="1:20" s="376" customFormat="1" ht="12">
      <c r="A139" s="613"/>
      <c r="B139" s="415"/>
      <c r="C139" s="415"/>
      <c r="D139" s="538"/>
      <c r="E139" s="415"/>
      <c r="F139" s="415"/>
      <c r="G139" s="415"/>
      <c r="H139" s="415"/>
      <c r="I139" s="415"/>
      <c r="J139" s="415"/>
      <c r="K139" s="415"/>
      <c r="L139" s="415"/>
      <c r="M139" s="390"/>
      <c r="N139" s="470"/>
      <c r="O139" s="397"/>
      <c r="P139" s="373"/>
      <c r="Q139" s="373"/>
      <c r="R139" s="635"/>
      <c r="S139" s="531"/>
      <c r="T139" s="511"/>
    </row>
    <row r="140" spans="1:20" s="267" customFormat="1" ht="26">
      <c r="A140" s="596" t="s">
        <v>217</v>
      </c>
      <c r="B140" s="416"/>
      <c r="C140" s="416"/>
      <c r="D140" s="537"/>
      <c r="E140" s="416"/>
      <c r="F140" s="416"/>
      <c r="G140" s="416"/>
      <c r="H140" s="416"/>
      <c r="I140" s="416"/>
      <c r="J140" s="416"/>
      <c r="K140" s="416"/>
      <c r="L140" s="416"/>
      <c r="M140" s="391"/>
      <c r="N140" s="569"/>
      <c r="O140" s="411"/>
      <c r="P140" s="133"/>
      <c r="Q140" s="133"/>
      <c r="R140" s="617"/>
      <c r="S140" s="531"/>
      <c r="T140" s="500"/>
    </row>
    <row r="141" spans="1:20">
      <c r="A141" s="614"/>
      <c r="B141" s="377"/>
      <c r="C141" s="377"/>
      <c r="D141" s="537"/>
      <c r="E141" s="539"/>
      <c r="F141" s="539"/>
      <c r="G141" s="539"/>
      <c r="H141" s="539"/>
      <c r="I141" s="539"/>
      <c r="J141" s="539"/>
      <c r="K141" s="539"/>
      <c r="L141" s="539"/>
      <c r="M141" s="301"/>
      <c r="N141" s="570"/>
      <c r="T141" s="501"/>
    </row>
    <row r="142" spans="1:20">
      <c r="A142" s="614"/>
      <c r="B142" s="377"/>
      <c r="C142" s="377"/>
      <c r="D142" s="537"/>
      <c r="E142" s="377"/>
      <c r="F142" s="377"/>
      <c r="G142" s="377"/>
      <c r="H142" s="377"/>
      <c r="I142" s="377"/>
      <c r="J142" s="377"/>
      <c r="K142" s="377"/>
      <c r="L142" s="377"/>
      <c r="M142" s="294"/>
      <c r="T142" s="501"/>
    </row>
    <row r="143" spans="1:20">
      <c r="A143" s="596"/>
      <c r="B143" s="377"/>
      <c r="C143" s="377"/>
      <c r="D143" s="537"/>
      <c r="E143" s="377"/>
      <c r="F143" s="540"/>
      <c r="G143" s="377"/>
      <c r="H143" s="377"/>
      <c r="I143" s="377"/>
      <c r="J143" s="377"/>
      <c r="K143" s="377"/>
      <c r="L143" s="377"/>
      <c r="M143" s="294"/>
      <c r="T143" s="501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15E42-E843-944A-8C0E-2A52CE142B56}">
  <dimension ref="A1:AN145"/>
  <sheetViews>
    <sheetView zoomScale="170" zoomScaleNormal="170" zoomScalePageLayoutView="150" workbookViewId="0">
      <pane xSplit="1" ySplit="3" topLeftCell="B125" activePane="bottomRight" state="frozen"/>
      <selection pane="topRight" activeCell="AW1" sqref="AW1"/>
      <selection pane="bottomLeft" activeCell="A4" sqref="A4"/>
      <selection pane="bottomRight" activeCell="A3" sqref="A3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668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5.1640625" style="394" hidden="1" customWidth="1"/>
    <col min="19" max="19" width="20.6640625" style="512" customWidth="1"/>
    <col min="20" max="16384" width="8.83203125" style="121"/>
  </cols>
  <sheetData>
    <row r="1" spans="1:19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650"/>
      <c r="S1" s="501"/>
    </row>
    <row r="2" spans="1:19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S2" s="501"/>
    </row>
    <row r="3" spans="1:19" s="638" customFormat="1" ht="2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640" t="s">
        <v>112</v>
      </c>
      <c r="O3" s="636" t="s">
        <v>113</v>
      </c>
      <c r="P3" s="637" t="s">
        <v>114</v>
      </c>
      <c r="Q3" s="637" t="s">
        <v>115</v>
      </c>
      <c r="R3" s="433" t="s">
        <v>239</v>
      </c>
      <c r="S3" s="490"/>
    </row>
    <row r="4" spans="1:19" s="267" customFormat="1" ht="13">
      <c r="A4" s="419" t="s">
        <v>9</v>
      </c>
      <c r="B4" s="41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397"/>
      <c r="P4" s="133"/>
      <c r="Q4" s="133"/>
      <c r="R4" s="398" t="e">
        <f>O4-#REF!</f>
        <v>#REF!</v>
      </c>
      <c r="S4" s="500"/>
    </row>
    <row r="5" spans="1:19" s="267" customFormat="1" ht="13">
      <c r="A5" s="419" t="s">
        <v>10</v>
      </c>
      <c r="B5" s="27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397"/>
      <c r="P5" s="271"/>
      <c r="Q5" s="133"/>
      <c r="R5" s="398" t="e">
        <f>O5-#REF!</f>
        <v>#REF!</v>
      </c>
      <c r="S5" s="500"/>
    </row>
    <row r="6" spans="1:19" s="267" customFormat="1" ht="13">
      <c r="A6" s="420" t="s">
        <v>11</v>
      </c>
      <c r="B6" s="278">
        <f>0</f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1" si="0">SUM(B6:M6)</f>
        <v>0</v>
      </c>
      <c r="O6" s="397">
        <v>0</v>
      </c>
      <c r="P6" s="271">
        <v>0</v>
      </c>
      <c r="Q6" s="274">
        <f>N6-P6</f>
        <v>0</v>
      </c>
      <c r="R6" s="398" t="e">
        <f>O6-#REF!</f>
        <v>#REF!</v>
      </c>
      <c r="S6" s="500"/>
    </row>
    <row r="7" spans="1:19" s="267" customFormat="1" ht="13">
      <c r="A7" s="420" t="s">
        <v>118</v>
      </c>
      <c r="B7" s="678">
        <v>0</v>
      </c>
      <c r="C7" s="678">
        <v>0</v>
      </c>
      <c r="D7" s="678">
        <v>0</v>
      </c>
      <c r="E7" s="678">
        <v>0</v>
      </c>
      <c r="F7" s="679">
        <v>10000</v>
      </c>
      <c r="G7" s="679">
        <v>0</v>
      </c>
      <c r="H7" s="679">
        <v>1100</v>
      </c>
      <c r="I7" s="679">
        <v>600</v>
      </c>
      <c r="J7" s="679">
        <v>600</v>
      </c>
      <c r="K7" s="679">
        <v>1100</v>
      </c>
      <c r="L7" s="679">
        <v>10000</v>
      </c>
      <c r="M7" s="680">
        <v>10000</v>
      </c>
      <c r="N7" s="468">
        <f t="shared" si="0"/>
        <v>33400</v>
      </c>
      <c r="O7" s="397">
        <v>47000</v>
      </c>
      <c r="P7" s="271"/>
      <c r="Q7" s="274">
        <f t="shared" ref="Q7:Q23" si="1">N7-P7</f>
        <v>33400</v>
      </c>
      <c r="R7" s="398" t="e">
        <f>O7-#REF!</f>
        <v>#REF!</v>
      </c>
      <c r="S7" s="500"/>
    </row>
    <row r="8" spans="1:19" s="267" customFormat="1" ht="13">
      <c r="A8" s="420" t="s">
        <v>13</v>
      </c>
      <c r="B8" s="278">
        <v>0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654">
        <v>0</v>
      </c>
      <c r="N8" s="468">
        <f t="shared" si="0"/>
        <v>0</v>
      </c>
      <c r="O8" s="397">
        <v>0</v>
      </c>
      <c r="P8" s="271">
        <v>5000</v>
      </c>
      <c r="Q8" s="274">
        <f t="shared" si="1"/>
        <v>-5000</v>
      </c>
      <c r="R8" s="398" t="e">
        <f>O8-#REF!</f>
        <v>#REF!</v>
      </c>
      <c r="S8" s="500"/>
    </row>
    <row r="9" spans="1:19" s="267" customFormat="1" ht="12">
      <c r="A9" s="421" t="s">
        <v>119</v>
      </c>
      <c r="B9" s="278">
        <v>1250</v>
      </c>
      <c r="C9" s="271">
        <f>5000+1250</f>
        <v>6250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654">
        <v>3750</v>
      </c>
      <c r="N9" s="468">
        <f t="shared" si="0"/>
        <v>40000</v>
      </c>
      <c r="O9" s="399">
        <v>40000</v>
      </c>
      <c r="P9" s="271">
        <v>77000</v>
      </c>
      <c r="Q9" s="274">
        <f t="shared" si="1"/>
        <v>-37000</v>
      </c>
      <c r="R9" s="398" t="e">
        <f>O9-#REF!</f>
        <v>#REF!</v>
      </c>
      <c r="S9" s="500"/>
    </row>
    <row r="10" spans="1:19" s="267" customFormat="1" ht="15" customHeight="1">
      <c r="A10" s="420" t="s">
        <v>121</v>
      </c>
      <c r="B10" s="278">
        <v>20000</v>
      </c>
      <c r="C10" s="271">
        <v>6000</v>
      </c>
      <c r="D10" s="271">
        <v>14400</v>
      </c>
      <c r="E10" s="271">
        <v>6600</v>
      </c>
      <c r="F10" s="271">
        <v>8700</v>
      </c>
      <c r="G10" s="271">
        <v>7900</v>
      </c>
      <c r="H10" s="271">
        <v>5500</v>
      </c>
      <c r="I10" s="271">
        <v>35000</v>
      </c>
      <c r="J10" s="271">
        <v>3800</v>
      </c>
      <c r="K10" s="271">
        <v>100000</v>
      </c>
      <c r="L10" s="271">
        <v>15000</v>
      </c>
      <c r="M10" s="654">
        <v>35000</v>
      </c>
      <c r="N10" s="468">
        <f t="shared" si="0"/>
        <v>257900</v>
      </c>
      <c r="O10" s="397">
        <v>236600</v>
      </c>
      <c r="P10" s="271">
        <v>697365.77</v>
      </c>
      <c r="Q10" s="274">
        <f t="shared" si="1"/>
        <v>-439465.77</v>
      </c>
      <c r="R10" s="398" t="e">
        <f>O10-#REF!</f>
        <v>#REF!</v>
      </c>
      <c r="S10" s="500"/>
    </row>
    <row r="11" spans="1:19" s="267" customFormat="1" ht="13">
      <c r="A11" s="437" t="s">
        <v>19</v>
      </c>
      <c r="B11" s="276">
        <f t="shared" ref="B11:M11" si="2">SUM(B6:B10)</f>
        <v>21250</v>
      </c>
      <c r="C11" s="276">
        <f t="shared" si="2"/>
        <v>12250</v>
      </c>
      <c r="D11" s="276">
        <f t="shared" si="2"/>
        <v>16900</v>
      </c>
      <c r="E11" s="276">
        <f t="shared" si="2"/>
        <v>7850</v>
      </c>
      <c r="F11" s="276">
        <f t="shared" si="2"/>
        <v>19950</v>
      </c>
      <c r="G11" s="276">
        <f t="shared" si="2"/>
        <v>15400</v>
      </c>
      <c r="H11" s="276">
        <f t="shared" si="2"/>
        <v>7850</v>
      </c>
      <c r="I11" s="276">
        <f t="shared" si="2"/>
        <v>36850</v>
      </c>
      <c r="J11" s="276">
        <f t="shared" si="2"/>
        <v>15650</v>
      </c>
      <c r="K11" s="276">
        <f t="shared" si="2"/>
        <v>102350</v>
      </c>
      <c r="L11" s="276">
        <f t="shared" si="2"/>
        <v>26250</v>
      </c>
      <c r="M11" s="655">
        <f t="shared" si="2"/>
        <v>48750</v>
      </c>
      <c r="N11" s="641">
        <f t="shared" si="0"/>
        <v>331300</v>
      </c>
      <c r="O11" s="440">
        <f>SUM(O6:O10)</f>
        <v>323600</v>
      </c>
      <c r="P11" s="276">
        <v>779365.77</v>
      </c>
      <c r="Q11" s="275">
        <f t="shared" si="1"/>
        <v>-448065.77</v>
      </c>
      <c r="R11" s="398" t="e">
        <f>O11-#REF!</f>
        <v>#REF!</v>
      </c>
      <c r="S11" s="500"/>
    </row>
    <row r="12" spans="1:19" s="267" customFormat="1" ht="6" customHeight="1">
      <c r="A12" s="420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656"/>
      <c r="N12" s="468"/>
      <c r="O12" s="397"/>
      <c r="P12" s="133"/>
      <c r="Q12" s="274"/>
      <c r="R12" s="398" t="e">
        <f>O12-#REF!</f>
        <v>#REF!</v>
      </c>
      <c r="S12" s="500"/>
    </row>
    <row r="13" spans="1:19" s="267" customFormat="1" ht="13">
      <c r="A13" s="419" t="s">
        <v>122</v>
      </c>
      <c r="B13" s="278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654"/>
      <c r="N13" s="468"/>
      <c r="O13" s="397"/>
      <c r="P13" s="271"/>
      <c r="Q13" s="274"/>
      <c r="R13" s="398" t="e">
        <f>O13-#REF!</f>
        <v>#REF!</v>
      </c>
      <c r="S13" s="500"/>
    </row>
    <row r="14" spans="1:19" s="267" customFormat="1" ht="13">
      <c r="A14" s="420" t="s">
        <v>21</v>
      </c>
      <c r="B14" s="278">
        <v>0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17000</v>
      </c>
      <c r="I14" s="271">
        <v>17000</v>
      </c>
      <c r="J14" s="271">
        <v>17000</v>
      </c>
      <c r="K14" s="271">
        <v>17000</v>
      </c>
      <c r="L14" s="271">
        <v>0</v>
      </c>
      <c r="M14" s="654">
        <f>0</f>
        <v>0</v>
      </c>
      <c r="N14" s="468">
        <f>SUM(B14:M14)</f>
        <v>68000</v>
      </c>
      <c r="O14" s="397">
        <v>102000</v>
      </c>
      <c r="P14" s="271"/>
      <c r="Q14" s="274"/>
      <c r="R14" s="398" t="e">
        <f>O14-#REF!</f>
        <v>#REF!</v>
      </c>
      <c r="S14" s="500"/>
    </row>
    <row r="15" spans="1:19" s="267" customFormat="1" ht="13">
      <c r="A15" s="419" t="s">
        <v>124</v>
      </c>
      <c r="B15" s="278">
        <v>0</v>
      </c>
      <c r="C15" s="271">
        <f>0</f>
        <v>0</v>
      </c>
      <c r="D15" s="271">
        <v>0</v>
      </c>
      <c r="E15" s="271">
        <v>0</v>
      </c>
      <c r="F15" s="271">
        <v>0</v>
      </c>
      <c r="G15" s="271">
        <f>0</f>
        <v>0</v>
      </c>
      <c r="H15" s="271">
        <v>10000</v>
      </c>
      <c r="I15" s="271">
        <f>0</f>
        <v>0</v>
      </c>
      <c r="J15" s="271">
        <v>10000</v>
      </c>
      <c r="K15" s="271">
        <f>0</f>
        <v>0</v>
      </c>
      <c r="L15" s="271">
        <f>0</f>
        <v>0</v>
      </c>
      <c r="M15" s="654">
        <f>0</f>
        <v>0</v>
      </c>
      <c r="N15" s="468">
        <f>SUM(B15:M15)</f>
        <v>20000</v>
      </c>
      <c r="O15" s="397">
        <v>30000</v>
      </c>
      <c r="P15" s="271"/>
      <c r="Q15" s="274"/>
      <c r="R15" s="398" t="e">
        <f>O15-#REF!</f>
        <v>#REF!</v>
      </c>
      <c r="S15" s="500"/>
    </row>
    <row r="16" spans="1:19" s="267" customFormat="1" ht="13">
      <c r="A16" s="420" t="s">
        <v>25</v>
      </c>
      <c r="B16" s="278">
        <v>0</v>
      </c>
      <c r="C16" s="271">
        <f>0</f>
        <v>0</v>
      </c>
      <c r="D16" s="271">
        <f>0</f>
        <v>0</v>
      </c>
      <c r="E16" s="271">
        <f>0</f>
        <v>0</v>
      </c>
      <c r="F16" s="271">
        <v>0</v>
      </c>
      <c r="G16" s="278">
        <f>0</f>
        <v>0</v>
      </c>
      <c r="H16" s="271">
        <f>0</f>
        <v>0</v>
      </c>
      <c r="I16" s="271">
        <f>0</f>
        <v>0</v>
      </c>
      <c r="J16" s="271">
        <f>0</f>
        <v>0</v>
      </c>
      <c r="K16" s="271">
        <f>0</f>
        <v>0</v>
      </c>
      <c r="L16" s="271">
        <f>0</f>
        <v>0</v>
      </c>
      <c r="M16" s="654">
        <f>0</f>
        <v>0</v>
      </c>
      <c r="N16" s="468">
        <f>SUM(B16:M16)</f>
        <v>0</v>
      </c>
      <c r="O16" s="397">
        <v>0</v>
      </c>
      <c r="P16" s="271"/>
      <c r="Q16" s="274"/>
      <c r="R16" s="398" t="e">
        <f>O16-#REF!</f>
        <v>#REF!</v>
      </c>
      <c r="S16" s="500"/>
    </row>
    <row r="17" spans="1:19" s="368" customFormat="1" ht="13">
      <c r="A17" s="419" t="s">
        <v>125</v>
      </c>
      <c r="B17" s="276">
        <f>SUM(B14:B16)</f>
        <v>0</v>
      </c>
      <c r="C17" s="276">
        <f t="shared" ref="C17:M17" si="3">SUM(C14:C16)</f>
        <v>0</v>
      </c>
      <c r="D17" s="276">
        <f t="shared" si="3"/>
        <v>0</v>
      </c>
      <c r="E17" s="276">
        <f t="shared" si="3"/>
        <v>0</v>
      </c>
      <c r="F17" s="276">
        <f t="shared" si="3"/>
        <v>0</v>
      </c>
      <c r="G17" s="276">
        <f t="shared" si="3"/>
        <v>0</v>
      </c>
      <c r="H17" s="276">
        <f t="shared" si="3"/>
        <v>27000</v>
      </c>
      <c r="I17" s="276">
        <f t="shared" si="3"/>
        <v>17000</v>
      </c>
      <c r="J17" s="276">
        <f t="shared" si="3"/>
        <v>27000</v>
      </c>
      <c r="K17" s="276">
        <f t="shared" si="3"/>
        <v>17000</v>
      </c>
      <c r="L17" s="276">
        <f t="shared" si="3"/>
        <v>0</v>
      </c>
      <c r="M17" s="655">
        <f t="shared" si="3"/>
        <v>0</v>
      </c>
      <c r="N17" s="641">
        <f>SUM(B17:M17)</f>
        <v>88000</v>
      </c>
      <c r="O17" s="440">
        <f>SUM(O14:O16)</f>
        <v>132000</v>
      </c>
      <c r="P17" s="276"/>
      <c r="Q17" s="276"/>
      <c r="R17" s="398" t="e">
        <f>O17-#REF!</f>
        <v>#REF!</v>
      </c>
      <c r="S17" s="502"/>
    </row>
    <row r="18" spans="1:19" s="267" customFormat="1" ht="6" customHeight="1">
      <c r="A18" s="420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656"/>
      <c r="N18" s="468"/>
      <c r="O18" s="397"/>
      <c r="P18" s="272"/>
      <c r="Q18" s="274"/>
      <c r="R18" s="398" t="e">
        <f>O18-#REF!</f>
        <v>#REF!</v>
      </c>
      <c r="S18" s="500"/>
    </row>
    <row r="19" spans="1:19" s="267" customFormat="1" ht="13">
      <c r="A19" s="419" t="s">
        <v>27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654"/>
      <c r="N19" s="468"/>
      <c r="O19" s="397"/>
      <c r="P19" s="271"/>
      <c r="Q19" s="274"/>
      <c r="R19" s="398" t="e">
        <f>O19-#REF!</f>
        <v>#REF!</v>
      </c>
      <c r="S19" s="500"/>
    </row>
    <row r="20" spans="1:19" s="267" customFormat="1" ht="13">
      <c r="A20" s="420" t="s">
        <v>126</v>
      </c>
      <c r="B20" s="278">
        <f>0</f>
        <v>0</v>
      </c>
      <c r="C20" s="271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654">
        <f>0</f>
        <v>0</v>
      </c>
      <c r="N20" s="468">
        <f>SUM(B20:M20)</f>
        <v>0</v>
      </c>
      <c r="O20" s="397">
        <v>0</v>
      </c>
      <c r="P20" s="271">
        <v>-651.64999999999986</v>
      </c>
      <c r="Q20" s="274">
        <f t="shared" si="1"/>
        <v>651.64999999999986</v>
      </c>
      <c r="R20" s="398" t="e">
        <f>O20-#REF!</f>
        <v>#REF!</v>
      </c>
      <c r="S20" s="500"/>
    </row>
    <row r="21" spans="1:19" s="267" customFormat="1" ht="13">
      <c r="A21" s="420" t="s">
        <v>127</v>
      </c>
      <c r="B21" s="681">
        <v>0</v>
      </c>
      <c r="C21" s="681">
        <v>0</v>
      </c>
      <c r="D21" s="681">
        <v>0</v>
      </c>
      <c r="E21" s="681">
        <v>0</v>
      </c>
      <c r="F21" s="681">
        <v>0</v>
      </c>
      <c r="G21" s="681">
        <v>0</v>
      </c>
      <c r="H21" s="681">
        <v>0</v>
      </c>
      <c r="I21" s="681">
        <v>0</v>
      </c>
      <c r="J21" s="681">
        <v>0</v>
      </c>
      <c r="K21" s="681">
        <v>0</v>
      </c>
      <c r="L21" s="681">
        <v>0</v>
      </c>
      <c r="M21" s="682">
        <v>0</v>
      </c>
      <c r="N21" s="468">
        <f>SUM(B21:M21)</f>
        <v>0</v>
      </c>
      <c r="O21" s="397">
        <v>4200</v>
      </c>
      <c r="P21" s="274"/>
      <c r="Q21" s="274">
        <f t="shared" si="1"/>
        <v>0</v>
      </c>
      <c r="R21" s="398" t="e">
        <f>O21-#REF!</f>
        <v>#REF!</v>
      </c>
      <c r="S21" s="500"/>
    </row>
    <row r="22" spans="1:19" s="267" customFormat="1" ht="13">
      <c r="A22" s="420" t="s">
        <v>128</v>
      </c>
      <c r="B22" s="278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657"/>
      <c r="N22" s="468">
        <f>SUM(B22:M22)</f>
        <v>0</v>
      </c>
      <c r="O22" s="397">
        <v>0</v>
      </c>
      <c r="P22" s="274"/>
      <c r="Q22" s="274">
        <f t="shared" si="1"/>
        <v>0</v>
      </c>
      <c r="R22" s="398" t="e">
        <f>O22-#REF!</f>
        <v>#REF!</v>
      </c>
      <c r="S22" s="500"/>
    </row>
    <row r="23" spans="1:19" s="267" customFormat="1" ht="13">
      <c r="A23" s="422" t="s">
        <v>29</v>
      </c>
      <c r="B23" s="276">
        <f>SUM(B19:B22)</f>
        <v>0</v>
      </c>
      <c r="C23" s="276">
        <f>SUM(C20:C22)</f>
        <v>0</v>
      </c>
      <c r="D23" s="276">
        <f t="shared" ref="D23:M23" si="4">SUM(D20:D22)</f>
        <v>0</v>
      </c>
      <c r="E23" s="276">
        <f t="shared" si="4"/>
        <v>0</v>
      </c>
      <c r="F23" s="276">
        <f t="shared" si="4"/>
        <v>0</v>
      </c>
      <c r="G23" s="276">
        <f t="shared" si="4"/>
        <v>0</v>
      </c>
      <c r="H23" s="276">
        <f>SUM(H19:H22)</f>
        <v>0</v>
      </c>
      <c r="I23" s="276">
        <f t="shared" si="4"/>
        <v>0</v>
      </c>
      <c r="J23" s="276">
        <f t="shared" si="4"/>
        <v>0</v>
      </c>
      <c r="K23" s="276">
        <f t="shared" si="4"/>
        <v>0</v>
      </c>
      <c r="L23" s="276">
        <f t="shared" si="4"/>
        <v>0</v>
      </c>
      <c r="M23" s="655">
        <f t="shared" si="4"/>
        <v>0</v>
      </c>
      <c r="N23" s="641">
        <f>SUM(B23:M23)</f>
        <v>0</v>
      </c>
      <c r="O23" s="440">
        <f>SUM(O20:O22)</f>
        <v>4200</v>
      </c>
      <c r="P23" s="276">
        <v>-651.64999999999986</v>
      </c>
      <c r="Q23" s="276">
        <f t="shared" si="1"/>
        <v>651.64999999999986</v>
      </c>
      <c r="R23" s="398" t="e">
        <f>O23-#REF!</f>
        <v>#REF!</v>
      </c>
      <c r="S23" s="500"/>
    </row>
    <row r="24" spans="1:19" s="267" customFormat="1" ht="6" customHeight="1">
      <c r="A24" s="420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656"/>
      <c r="N24" s="468"/>
      <c r="O24" s="397"/>
      <c r="P24" s="133"/>
      <c r="Q24" s="133"/>
      <c r="R24" s="398" t="e">
        <f>O24-#REF!</f>
        <v>#REF!</v>
      </c>
      <c r="S24" s="500"/>
    </row>
    <row r="25" spans="1:19" s="267" customFormat="1" ht="13">
      <c r="A25" s="419" t="s">
        <v>30</v>
      </c>
      <c r="B25" s="278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654"/>
      <c r="N25" s="468"/>
      <c r="O25" s="397"/>
      <c r="P25" s="133"/>
      <c r="Q25" s="133"/>
      <c r="R25" s="398" t="e">
        <f>O25-#REF!</f>
        <v>#REF!</v>
      </c>
      <c r="S25" s="500"/>
    </row>
    <row r="26" spans="1:19" s="267" customFormat="1" ht="13">
      <c r="A26" s="420" t="s">
        <v>31</v>
      </c>
      <c r="B26" s="278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654">
        <v>0</v>
      </c>
      <c r="N26" s="468">
        <f t="shared" ref="N26:N44" si="5">SUM(B26:M26)</f>
        <v>0</v>
      </c>
      <c r="O26" s="397">
        <v>0</v>
      </c>
      <c r="P26" s="271">
        <v>6.1899999999999995</v>
      </c>
      <c r="Q26" s="274">
        <f>N26-P26</f>
        <v>-6.1899999999999995</v>
      </c>
      <c r="R26" s="398" t="e">
        <f>O26-#REF!</f>
        <v>#REF!</v>
      </c>
      <c r="S26" s="500"/>
    </row>
    <row r="27" spans="1:19" s="267" customFormat="1" ht="13">
      <c r="A27" s="420" t="s">
        <v>129</v>
      </c>
      <c r="B27" s="278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654">
        <v>0</v>
      </c>
      <c r="N27" s="468">
        <f t="shared" si="5"/>
        <v>0</v>
      </c>
      <c r="O27" s="397">
        <v>0</v>
      </c>
      <c r="P27" s="271">
        <v>288.74999999999994</v>
      </c>
      <c r="Q27" s="274">
        <f t="shared" ref="Q27:Q44" si="6">N27-P27</f>
        <v>-288.74999999999994</v>
      </c>
      <c r="R27" s="398" t="e">
        <f>O27-#REF!</f>
        <v>#REF!</v>
      </c>
      <c r="S27" s="500"/>
    </row>
    <row r="28" spans="1:19" s="267" customFormat="1" ht="13">
      <c r="A28" s="420" t="s">
        <v>130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654">
        <v>0</v>
      </c>
      <c r="N28" s="468">
        <f t="shared" si="5"/>
        <v>0</v>
      </c>
      <c r="O28" s="397">
        <v>0</v>
      </c>
      <c r="P28" s="271"/>
      <c r="Q28" s="274">
        <f t="shared" si="6"/>
        <v>0</v>
      </c>
      <c r="R28" s="398" t="e">
        <f>O28-#REF!</f>
        <v>#REF!</v>
      </c>
      <c r="S28" s="500"/>
    </row>
    <row r="29" spans="1:19" s="267" customFormat="1" ht="13" hidden="1">
      <c r="A29" s="420" t="s">
        <v>131</v>
      </c>
      <c r="B29" s="278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654"/>
      <c r="N29" s="468">
        <f t="shared" si="5"/>
        <v>0</v>
      </c>
      <c r="O29" s="397">
        <v>0</v>
      </c>
      <c r="P29" s="271">
        <v>152400.04</v>
      </c>
      <c r="Q29" s="274">
        <f t="shared" si="6"/>
        <v>-152400.04</v>
      </c>
      <c r="R29" s="398" t="e">
        <f>O29-#REF!</f>
        <v>#REF!</v>
      </c>
      <c r="S29" s="500"/>
    </row>
    <row r="30" spans="1:19" s="267" customFormat="1" ht="13" hidden="1">
      <c r="A30" s="420" t="s">
        <v>132</v>
      </c>
      <c r="B30" s="278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654"/>
      <c r="N30" s="468">
        <f t="shared" si="5"/>
        <v>0</v>
      </c>
      <c r="O30" s="397">
        <v>0</v>
      </c>
      <c r="P30" s="271">
        <v>0</v>
      </c>
      <c r="Q30" s="274">
        <f t="shared" si="6"/>
        <v>0</v>
      </c>
      <c r="R30" s="398" t="e">
        <f>O30-#REF!</f>
        <v>#REF!</v>
      </c>
      <c r="S30" s="500"/>
    </row>
    <row r="31" spans="1:19" s="267" customFormat="1" ht="13" hidden="1">
      <c r="A31" s="420" t="s">
        <v>133</v>
      </c>
      <c r="B31" s="278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654"/>
      <c r="N31" s="468">
        <f t="shared" si="5"/>
        <v>0</v>
      </c>
      <c r="O31" s="397">
        <v>0</v>
      </c>
      <c r="P31" s="271">
        <v>132000</v>
      </c>
      <c r="Q31" s="274">
        <f t="shared" si="6"/>
        <v>-132000</v>
      </c>
      <c r="R31" s="398" t="e">
        <f>O31-#REF!</f>
        <v>#REF!</v>
      </c>
      <c r="S31" s="500"/>
    </row>
    <row r="32" spans="1:19" s="267" customFormat="1" ht="13">
      <c r="A32" s="420" t="s">
        <v>39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654"/>
      <c r="N32" s="468"/>
      <c r="O32" s="397"/>
      <c r="P32" s="271">
        <v>99794.28</v>
      </c>
      <c r="Q32" s="274">
        <f t="shared" si="6"/>
        <v>-99794.28</v>
      </c>
      <c r="R32" s="398" t="e">
        <f>O32-#REF!</f>
        <v>#REF!</v>
      </c>
      <c r="S32" s="500"/>
    </row>
    <row r="33" spans="1:22" s="527" customFormat="1" ht="39">
      <c r="A33" s="519" t="s">
        <v>134</v>
      </c>
      <c r="B33" s="683">
        <v>0</v>
      </c>
      <c r="C33" s="683">
        <v>0</v>
      </c>
      <c r="D33" s="683">
        <v>0</v>
      </c>
      <c r="E33" s="683">
        <v>0</v>
      </c>
      <c r="F33" s="683">
        <v>0</v>
      </c>
      <c r="G33" s="683">
        <v>0</v>
      </c>
      <c r="H33" s="683">
        <v>0</v>
      </c>
      <c r="I33" s="683">
        <v>0</v>
      </c>
      <c r="J33" s="683">
        <v>0</v>
      </c>
      <c r="K33" s="683">
        <v>0</v>
      </c>
      <c r="L33" s="683">
        <v>0</v>
      </c>
      <c r="M33" s="684">
        <v>0</v>
      </c>
      <c r="N33" s="642">
        <f t="shared" ref="N33:N38" si="7">SUM(B33:M33)</f>
        <v>0</v>
      </c>
      <c r="O33" s="523">
        <v>1800</v>
      </c>
      <c r="P33" s="521"/>
      <c r="Q33" s="524"/>
      <c r="R33" s="525" t="e">
        <f>O33-#REF!</f>
        <v>#REF!</v>
      </c>
      <c r="S33" s="526" t="s">
        <v>240</v>
      </c>
    </row>
    <row r="34" spans="1:22" s="527" customFormat="1" ht="39">
      <c r="A34" s="519" t="s">
        <v>135</v>
      </c>
      <c r="B34" s="683">
        <v>0</v>
      </c>
      <c r="C34" s="683">
        <v>0</v>
      </c>
      <c r="D34" s="683">
        <v>0</v>
      </c>
      <c r="E34" s="683">
        <v>0</v>
      </c>
      <c r="F34" s="683">
        <v>0</v>
      </c>
      <c r="G34" s="683">
        <v>0</v>
      </c>
      <c r="H34" s="683">
        <v>0</v>
      </c>
      <c r="I34" s="683">
        <v>0</v>
      </c>
      <c r="J34" s="683">
        <v>0</v>
      </c>
      <c r="K34" s="683">
        <v>0</v>
      </c>
      <c r="L34" s="683">
        <v>0</v>
      </c>
      <c r="M34" s="684">
        <v>0</v>
      </c>
      <c r="N34" s="642">
        <f t="shared" si="7"/>
        <v>0</v>
      </c>
      <c r="O34" s="523">
        <v>9000</v>
      </c>
      <c r="P34" s="521"/>
      <c r="Q34" s="524"/>
      <c r="R34" s="525" t="e">
        <f>O34-#REF!</f>
        <v>#REF!</v>
      </c>
      <c r="S34" s="526" t="s">
        <v>241</v>
      </c>
    </row>
    <row r="35" spans="1:22" s="527" customFormat="1" ht="86" customHeight="1">
      <c r="A35" s="519" t="s">
        <v>136</v>
      </c>
      <c r="B35" s="690">
        <f>Assumptions!B6</f>
        <v>0</v>
      </c>
      <c r="C35" s="690" t="e">
        <f>#REF!</f>
        <v>#REF!</v>
      </c>
      <c r="D35" s="690" t="e">
        <f>#REF!</f>
        <v>#REF!</v>
      </c>
      <c r="E35" s="690" t="e">
        <f>#REF!</f>
        <v>#REF!</v>
      </c>
      <c r="F35" s="690" t="e">
        <f>#REF!</f>
        <v>#REF!</v>
      </c>
      <c r="G35" s="690" t="e">
        <f>#REF!</f>
        <v>#REF!</v>
      </c>
      <c r="H35" s="690" t="e">
        <f>#REF!</f>
        <v>#REF!</v>
      </c>
      <c r="I35" s="690" t="e">
        <f>#REF!</f>
        <v>#REF!</v>
      </c>
      <c r="J35" s="690" t="e">
        <f>#REF!</f>
        <v>#REF!</v>
      </c>
      <c r="K35" s="690" t="e">
        <f>#REF!</f>
        <v>#REF!</v>
      </c>
      <c r="L35" s="690" t="e">
        <f>#REF!</f>
        <v>#REF!</v>
      </c>
      <c r="M35" s="695" t="e">
        <f>#REF!</f>
        <v>#REF!</v>
      </c>
      <c r="N35" s="642" t="e">
        <f t="shared" si="7"/>
        <v>#REF!</v>
      </c>
      <c r="O35" s="523">
        <v>448000</v>
      </c>
      <c r="P35" s="521"/>
      <c r="Q35" s="524"/>
      <c r="R35" s="525" t="e">
        <f>O35-#REF!</f>
        <v>#REF!</v>
      </c>
      <c r="S35" s="526" t="s">
        <v>242</v>
      </c>
    </row>
    <row r="36" spans="1:22" s="267" customFormat="1" ht="13">
      <c r="A36" s="420" t="s">
        <v>137</v>
      </c>
      <c r="B36" s="278">
        <f>'Lean Assumptions'!B8</f>
        <v>1140</v>
      </c>
      <c r="C36" s="278">
        <f>'Lean Assumptions'!C8</f>
        <v>2280</v>
      </c>
      <c r="D36" s="278">
        <f>'Lean Assumptions'!D8</f>
        <v>2280</v>
      </c>
      <c r="E36" s="278">
        <f>'Lean Assumptions'!E8</f>
        <v>2280</v>
      </c>
      <c r="F36" s="278">
        <f>'Lean Assumptions'!F8</f>
        <v>2280</v>
      </c>
      <c r="G36" s="278">
        <f>'Lean Assumptions'!G8</f>
        <v>2280</v>
      </c>
      <c r="H36" s="278">
        <f>'Lean Assumptions'!H8</f>
        <v>2280</v>
      </c>
      <c r="I36" s="278">
        <f>'Lean Assumptions'!I8</f>
        <v>2280</v>
      </c>
      <c r="J36" s="278">
        <f>'Lean Assumptions'!J8</f>
        <v>2280</v>
      </c>
      <c r="K36" s="278">
        <f>'Lean Assumptions'!K8</f>
        <v>2280</v>
      </c>
      <c r="L36" s="278">
        <f>'Lean Assumptions'!L8</f>
        <v>2280</v>
      </c>
      <c r="M36" s="695">
        <f>'Lean Assumptions'!M8</f>
        <v>2280</v>
      </c>
      <c r="N36" s="468">
        <f>SUM(B36:M36)</f>
        <v>26220</v>
      </c>
      <c r="O36" s="397">
        <v>36000</v>
      </c>
      <c r="P36" s="271">
        <v>15873</v>
      </c>
      <c r="Q36" s="274">
        <f t="shared" si="6"/>
        <v>10347</v>
      </c>
      <c r="R36" s="398" t="e">
        <f>O36-#REF!</f>
        <v>#REF!</v>
      </c>
      <c r="S36" s="500"/>
    </row>
    <row r="37" spans="1:22" s="527" customFormat="1" ht="26">
      <c r="A37" s="519" t="s">
        <v>243</v>
      </c>
      <c r="B37" s="520">
        <v>6000</v>
      </c>
      <c r="C37" s="520">
        <v>1500</v>
      </c>
      <c r="D37" s="520">
        <v>1500</v>
      </c>
      <c r="E37" s="520">
        <v>1500</v>
      </c>
      <c r="F37" s="520">
        <v>0</v>
      </c>
      <c r="G37" s="520">
        <v>0</v>
      </c>
      <c r="H37" s="520">
        <v>0</v>
      </c>
      <c r="I37" s="521">
        <v>0</v>
      </c>
      <c r="J37" s="521">
        <v>0</v>
      </c>
      <c r="K37" s="521">
        <v>0</v>
      </c>
      <c r="L37" s="521">
        <v>0</v>
      </c>
      <c r="M37" s="658">
        <v>0</v>
      </c>
      <c r="N37" s="642">
        <f t="shared" si="7"/>
        <v>10500</v>
      </c>
      <c r="O37" s="523">
        <v>87000</v>
      </c>
      <c r="P37" s="521"/>
      <c r="Q37" s="524"/>
      <c r="R37" s="525" t="e">
        <f>O37-#REF!</f>
        <v>#REF!</v>
      </c>
      <c r="S37" s="526" t="s">
        <v>244</v>
      </c>
    </row>
    <row r="38" spans="1:22" s="267" customFormat="1" ht="13">
      <c r="A38" s="420" t="s">
        <v>139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654">
        <v>0</v>
      </c>
      <c r="N38" s="468">
        <f t="shared" si="7"/>
        <v>0</v>
      </c>
      <c r="O38" s="397">
        <v>0</v>
      </c>
      <c r="P38" s="271"/>
      <c r="Q38" s="274">
        <f>N38-P38</f>
        <v>0</v>
      </c>
      <c r="R38" s="398" t="e">
        <f>O38-#REF!</f>
        <v>#REF!</v>
      </c>
      <c r="S38" s="500"/>
    </row>
    <row r="39" spans="1:22" s="267" customFormat="1" ht="12">
      <c r="A39" s="420"/>
      <c r="B39" s="278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654"/>
      <c r="N39" s="468"/>
      <c r="O39" s="397"/>
      <c r="P39" s="271"/>
      <c r="Q39" s="274"/>
      <c r="R39" s="398" t="e">
        <f>O39-#REF!</f>
        <v>#REF!</v>
      </c>
      <c r="S39" s="500"/>
    </row>
    <row r="40" spans="1:22" s="267" customFormat="1" ht="13">
      <c r="A40" s="420" t="s">
        <v>140</v>
      </c>
      <c r="B40" s="367">
        <v>0</v>
      </c>
      <c r="C40" s="278">
        <v>0</v>
      </c>
      <c r="D40" s="271">
        <v>0</v>
      </c>
      <c r="E40" s="271">
        <v>0</v>
      </c>
      <c r="F40" s="271">
        <v>-10000</v>
      </c>
      <c r="G40" s="271">
        <v>0</v>
      </c>
      <c r="H40" s="271">
        <v>0</v>
      </c>
      <c r="I40" s="271">
        <v>0</v>
      </c>
      <c r="J40" s="271">
        <v>-10000</v>
      </c>
      <c r="K40" s="271">
        <v>0</v>
      </c>
      <c r="L40" s="271">
        <v>0</v>
      </c>
      <c r="M40" s="654">
        <v>0</v>
      </c>
      <c r="N40" s="468">
        <f>SUM(B40:M40)</f>
        <v>-20000</v>
      </c>
      <c r="O40" s="397">
        <v>-20000</v>
      </c>
      <c r="P40" s="271"/>
      <c r="Q40" s="274"/>
      <c r="R40" s="398" t="e">
        <f>O40-#REF!</f>
        <v>#REF!</v>
      </c>
      <c r="S40" s="500"/>
    </row>
    <row r="41" spans="1:22" s="267" customFormat="1" ht="13">
      <c r="A41" s="420" t="s">
        <v>141</v>
      </c>
      <c r="B41" s="278">
        <v>0</v>
      </c>
      <c r="C41" s="278">
        <v>0</v>
      </c>
      <c r="D41" s="278">
        <v>7500</v>
      </c>
      <c r="E41" s="278">
        <v>0</v>
      </c>
      <c r="F41" s="271">
        <v>0</v>
      </c>
      <c r="G41" s="271">
        <v>7500</v>
      </c>
      <c r="H41" s="271">
        <v>0</v>
      </c>
      <c r="I41" s="271">
        <v>0</v>
      </c>
      <c r="J41" s="271">
        <v>7500</v>
      </c>
      <c r="K41" s="271">
        <v>0</v>
      </c>
      <c r="L41" s="271">
        <v>0</v>
      </c>
      <c r="M41" s="654">
        <v>7500</v>
      </c>
      <c r="N41" s="468">
        <f t="shared" si="5"/>
        <v>30000</v>
      </c>
      <c r="O41" s="397">
        <v>22500</v>
      </c>
      <c r="P41" s="271"/>
      <c r="Q41" s="274">
        <f t="shared" si="6"/>
        <v>30000</v>
      </c>
      <c r="R41" s="398" t="e">
        <f>O41-#REF!</f>
        <v>#REF!</v>
      </c>
      <c r="S41" s="500"/>
    </row>
    <row r="42" spans="1:22" s="267" customFormat="1" ht="13">
      <c r="A42" s="420" t="s">
        <v>142</v>
      </c>
      <c r="B42" s="278">
        <v>0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78">
        <v>0</v>
      </c>
      <c r="I42" s="278">
        <v>0</v>
      </c>
      <c r="J42" s="278">
        <v>300</v>
      </c>
      <c r="K42" s="278">
        <v>300</v>
      </c>
      <c r="L42" s="278">
        <v>300</v>
      </c>
      <c r="M42" s="654">
        <v>300</v>
      </c>
      <c r="N42" s="443">
        <f>SUM(B42:M42)</f>
        <v>1200</v>
      </c>
      <c r="O42" s="397">
        <v>4100</v>
      </c>
      <c r="P42" s="278"/>
      <c r="Q42" s="286"/>
      <c r="R42" s="398" t="e">
        <f>O42-#REF!</f>
        <v>#REF!</v>
      </c>
      <c r="S42" s="503"/>
      <c r="T42" s="369"/>
      <c r="U42" s="369"/>
      <c r="V42" s="369"/>
    </row>
    <row r="43" spans="1:22" s="267" customFormat="1" ht="13">
      <c r="A43" s="420" t="s">
        <v>41</v>
      </c>
      <c r="B43" s="278">
        <f>0</f>
        <v>0</v>
      </c>
      <c r="C43" s="271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654">
        <f>0</f>
        <v>0</v>
      </c>
      <c r="N43" s="468">
        <f t="shared" si="5"/>
        <v>0</v>
      </c>
      <c r="O43" s="397">
        <v>0</v>
      </c>
      <c r="P43" s="271">
        <v>700</v>
      </c>
      <c r="Q43" s="274">
        <f t="shared" si="6"/>
        <v>-700</v>
      </c>
      <c r="R43" s="398" t="e">
        <f>O43-#REF!</f>
        <v>#REF!</v>
      </c>
      <c r="S43" s="500"/>
    </row>
    <row r="44" spans="1:22" s="438" customFormat="1" ht="13">
      <c r="A44" s="437" t="s">
        <v>42</v>
      </c>
      <c r="B44" s="276">
        <f t="shared" ref="B44:M44" si="8">SUM(B26:B43)</f>
        <v>7140</v>
      </c>
      <c r="C44" s="276" t="e">
        <f t="shared" si="8"/>
        <v>#REF!</v>
      </c>
      <c r="D44" s="276" t="e">
        <f t="shared" si="8"/>
        <v>#REF!</v>
      </c>
      <c r="E44" s="276" t="e">
        <f t="shared" si="8"/>
        <v>#REF!</v>
      </c>
      <c r="F44" s="276" t="e">
        <f t="shared" si="8"/>
        <v>#REF!</v>
      </c>
      <c r="G44" s="276" t="e">
        <f t="shared" si="8"/>
        <v>#REF!</v>
      </c>
      <c r="H44" s="276" t="e">
        <f t="shared" si="8"/>
        <v>#REF!</v>
      </c>
      <c r="I44" s="276" t="e">
        <f t="shared" si="8"/>
        <v>#REF!</v>
      </c>
      <c r="J44" s="276" t="e">
        <f t="shared" si="8"/>
        <v>#REF!</v>
      </c>
      <c r="K44" s="276" t="e">
        <f t="shared" si="8"/>
        <v>#REF!</v>
      </c>
      <c r="L44" s="276" t="e">
        <f t="shared" si="8"/>
        <v>#REF!</v>
      </c>
      <c r="M44" s="655" t="e">
        <f t="shared" si="8"/>
        <v>#REF!</v>
      </c>
      <c r="N44" s="641" t="e">
        <f t="shared" si="5"/>
        <v>#REF!</v>
      </c>
      <c r="O44" s="440">
        <f>SUM(O26:O43)</f>
        <v>588400</v>
      </c>
      <c r="P44" s="276">
        <v>401062.26</v>
      </c>
      <c r="Q44" s="276" t="e">
        <f t="shared" si="6"/>
        <v>#REF!</v>
      </c>
      <c r="R44" s="398" t="e">
        <f>O44-#REF!</f>
        <v>#REF!</v>
      </c>
      <c r="S44" s="504"/>
    </row>
    <row r="45" spans="1:22" s="267" customFormat="1" ht="6" customHeight="1">
      <c r="A45" s="419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656"/>
      <c r="N45" s="468"/>
      <c r="O45" s="397"/>
      <c r="P45" s="133"/>
      <c r="Q45" s="133"/>
      <c r="R45" s="398" t="e">
        <f>O45-#REF!</f>
        <v>#REF!</v>
      </c>
      <c r="S45" s="500"/>
    </row>
    <row r="46" spans="1:22" s="267" customFormat="1" ht="13">
      <c r="A46" s="420" t="s">
        <v>43</v>
      </c>
      <c r="B46" s="278">
        <v>0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78">
        <v>0</v>
      </c>
      <c r="I46" s="278">
        <v>0</v>
      </c>
      <c r="J46" s="278">
        <v>0</v>
      </c>
      <c r="K46" s="278">
        <v>0</v>
      </c>
      <c r="L46" s="278">
        <v>0</v>
      </c>
      <c r="M46" s="654">
        <v>0</v>
      </c>
      <c r="N46" s="468">
        <f>SUM(B46:M46)</f>
        <v>0</v>
      </c>
      <c r="O46" s="399">
        <v>-17000</v>
      </c>
      <c r="P46" s="271">
        <v>0</v>
      </c>
      <c r="Q46" s="274">
        <f>N46-P46</f>
        <v>0</v>
      </c>
      <c r="R46" s="398" t="e">
        <f>O46-#REF!</f>
        <v>#REF!</v>
      </c>
      <c r="S46" s="500" t="s">
        <v>220</v>
      </c>
    </row>
    <row r="47" spans="1:22" s="267" customFormat="1" ht="14" thickBot="1">
      <c r="A47" s="420" t="s">
        <v>143</v>
      </c>
      <c r="B47" s="278">
        <f>0</f>
        <v>0</v>
      </c>
      <c r="C47" s="271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654">
        <f>0</f>
        <v>0</v>
      </c>
      <c r="N47" s="468">
        <f>SUM(B47:M47)</f>
        <v>0</v>
      </c>
      <c r="O47" s="397">
        <v>0</v>
      </c>
      <c r="P47" s="271">
        <v>0</v>
      </c>
      <c r="Q47" s="274">
        <f>N47-P47</f>
        <v>0</v>
      </c>
      <c r="R47" s="398" t="e">
        <f>O47-#REF!</f>
        <v>#REF!</v>
      </c>
      <c r="S47" s="500"/>
    </row>
    <row r="48" spans="1:22" s="452" customFormat="1" ht="14" thickTop="1">
      <c r="A48" s="445" t="s">
        <v>45</v>
      </c>
      <c r="B48" s="446">
        <f t="shared" ref="B48:M48" si="9">(((((B11)+(B17))+(B23))+(B44))+(B46))+(B47)</f>
        <v>28390</v>
      </c>
      <c r="C48" s="446" t="e">
        <f t="shared" si="9"/>
        <v>#REF!</v>
      </c>
      <c r="D48" s="446" t="e">
        <f t="shared" si="9"/>
        <v>#REF!</v>
      </c>
      <c r="E48" s="446" t="e">
        <f t="shared" si="9"/>
        <v>#REF!</v>
      </c>
      <c r="F48" s="446" t="e">
        <f t="shared" si="9"/>
        <v>#REF!</v>
      </c>
      <c r="G48" s="446" t="e">
        <f t="shared" si="9"/>
        <v>#REF!</v>
      </c>
      <c r="H48" s="446" t="e">
        <f t="shared" si="9"/>
        <v>#REF!</v>
      </c>
      <c r="I48" s="446" t="e">
        <f t="shared" si="9"/>
        <v>#REF!</v>
      </c>
      <c r="J48" s="446" t="e">
        <f t="shared" si="9"/>
        <v>#REF!</v>
      </c>
      <c r="K48" s="446" t="e">
        <f t="shared" si="9"/>
        <v>#REF!</v>
      </c>
      <c r="L48" s="446" t="e">
        <f t="shared" si="9"/>
        <v>#REF!</v>
      </c>
      <c r="M48" s="659" t="e">
        <f t="shared" si="9"/>
        <v>#REF!</v>
      </c>
      <c r="N48" s="643" t="e">
        <f>SUM(B48:M48)</f>
        <v>#REF!</v>
      </c>
      <c r="O48" s="449">
        <f>SUM(O11,O17,O23,O44,O46,O47)</f>
        <v>1031200</v>
      </c>
      <c r="P48" s="446">
        <v>1179776.3799999999</v>
      </c>
      <c r="Q48" s="450" t="e">
        <f>N48-P48</f>
        <v>#REF!</v>
      </c>
      <c r="R48" s="398" t="e">
        <f>O48-#REF!</f>
        <v>#REF!</v>
      </c>
      <c r="S48" s="505"/>
    </row>
    <row r="49" spans="1:19" s="267" customFormat="1" ht="13" customHeight="1">
      <c r="A49" s="44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656"/>
      <c r="N49" s="443"/>
      <c r="O49" s="444"/>
      <c r="P49" s="370"/>
      <c r="Q49" s="370"/>
      <c r="R49" s="398" t="e">
        <f>O49-#REF!</f>
        <v>#REF!</v>
      </c>
      <c r="S49" s="500"/>
    </row>
    <row r="50" spans="1:19" s="267" customFormat="1" ht="13">
      <c r="A50" s="419" t="s">
        <v>46</v>
      </c>
      <c r="B50" s="413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653"/>
      <c r="N50" s="468"/>
      <c r="O50" s="397"/>
      <c r="P50" s="133"/>
      <c r="Q50" s="133"/>
      <c r="R50" s="398" t="e">
        <f>O50-#REF!</f>
        <v>#REF!</v>
      </c>
      <c r="S50" s="500"/>
    </row>
    <row r="51" spans="1:19" s="267" customFormat="1" ht="13">
      <c r="A51" s="419" t="s">
        <v>144</v>
      </c>
      <c r="B51" s="278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654"/>
      <c r="N51" s="468"/>
      <c r="O51" s="397"/>
      <c r="P51" s="133"/>
      <c r="Q51" s="133"/>
      <c r="R51" s="398" t="e">
        <f>O51-#REF!</f>
        <v>#REF!</v>
      </c>
      <c r="S51" s="500"/>
    </row>
    <row r="52" spans="1:19" s="267" customFormat="1" ht="13">
      <c r="A52" s="420" t="s">
        <v>48</v>
      </c>
      <c r="B52" s="278">
        <v>400</v>
      </c>
      <c r="C52" s="278">
        <v>400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654">
        <v>400</v>
      </c>
      <c r="N52" s="468">
        <f t="shared" ref="N52:N60" si="10">SUM(B52:M52)</f>
        <v>4800</v>
      </c>
      <c r="O52" s="397">
        <v>4800</v>
      </c>
      <c r="P52" s="271">
        <v>3875.12</v>
      </c>
      <c r="Q52" s="274">
        <f>N52-P52</f>
        <v>924.88000000000011</v>
      </c>
      <c r="R52" s="398" t="e">
        <f>O52-#REF!</f>
        <v>#REF!</v>
      </c>
      <c r="S52" s="500"/>
    </row>
    <row r="53" spans="1:19" s="527" customFormat="1" ht="26">
      <c r="A53" s="519" t="s">
        <v>145</v>
      </c>
      <c r="B53" s="520">
        <v>8000</v>
      </c>
      <c r="C53" s="520">
        <v>1000</v>
      </c>
      <c r="D53" s="520">
        <v>1000</v>
      </c>
      <c r="E53" s="520">
        <v>1000</v>
      </c>
      <c r="F53" s="520">
        <v>1000</v>
      </c>
      <c r="G53" s="520">
        <v>1000</v>
      </c>
      <c r="H53" s="520">
        <v>1000</v>
      </c>
      <c r="I53" s="520">
        <v>1000</v>
      </c>
      <c r="J53" s="520">
        <v>1000</v>
      </c>
      <c r="K53" s="520">
        <v>1000</v>
      </c>
      <c r="L53" s="520">
        <v>1000</v>
      </c>
      <c r="M53" s="658">
        <v>8000</v>
      </c>
      <c r="N53" s="642">
        <f t="shared" si="10"/>
        <v>26000</v>
      </c>
      <c r="O53" s="523">
        <v>19000</v>
      </c>
      <c r="P53" s="521">
        <v>20722.400000000001</v>
      </c>
      <c r="Q53" s="524">
        <f t="shared" ref="Q53:Q60" si="11">N53-P53</f>
        <v>5277.5999999999985</v>
      </c>
      <c r="R53" s="525" t="e">
        <f>O53-#REF!</f>
        <v>#REF!</v>
      </c>
      <c r="S53" s="526" t="s">
        <v>245</v>
      </c>
    </row>
    <row r="54" spans="1:19" s="527" customFormat="1" ht="26">
      <c r="A54" s="519" t="s">
        <v>146</v>
      </c>
      <c r="B54" s="520">
        <v>2000</v>
      </c>
      <c r="C54" s="520">
        <v>2000</v>
      </c>
      <c r="D54" s="520">
        <v>2000</v>
      </c>
      <c r="E54" s="520">
        <v>2000</v>
      </c>
      <c r="F54" s="520">
        <v>2000</v>
      </c>
      <c r="G54" s="520">
        <v>2000</v>
      </c>
      <c r="H54" s="520">
        <v>2000</v>
      </c>
      <c r="I54" s="520">
        <v>2000</v>
      </c>
      <c r="J54" s="520">
        <v>2000</v>
      </c>
      <c r="K54" s="520">
        <v>2000</v>
      </c>
      <c r="L54" s="520">
        <v>2000</v>
      </c>
      <c r="M54" s="658">
        <v>2000</v>
      </c>
      <c r="N54" s="642">
        <f t="shared" si="10"/>
        <v>24000</v>
      </c>
      <c r="O54" s="523">
        <v>42000</v>
      </c>
      <c r="P54" s="521">
        <v>24074</v>
      </c>
      <c r="Q54" s="524">
        <f t="shared" si="11"/>
        <v>-74</v>
      </c>
      <c r="R54" s="525" t="e">
        <f>O54-#REF!</f>
        <v>#REF!</v>
      </c>
      <c r="S54" s="526" t="s">
        <v>246</v>
      </c>
    </row>
    <row r="55" spans="1:19" s="267" customFormat="1" ht="13">
      <c r="A55" s="420" t="s">
        <v>147</v>
      </c>
      <c r="B55" s="278">
        <v>160</v>
      </c>
      <c r="C55" s="278">
        <v>160</v>
      </c>
      <c r="D55" s="278">
        <v>160</v>
      </c>
      <c r="E55" s="278">
        <v>160</v>
      </c>
      <c r="F55" s="278">
        <v>160</v>
      </c>
      <c r="G55" s="278">
        <v>160</v>
      </c>
      <c r="H55" s="278">
        <v>160</v>
      </c>
      <c r="I55" s="278">
        <v>160</v>
      </c>
      <c r="J55" s="278">
        <v>160</v>
      </c>
      <c r="K55" s="278">
        <v>160</v>
      </c>
      <c r="L55" s="278">
        <v>160</v>
      </c>
      <c r="M55" s="654">
        <v>160</v>
      </c>
      <c r="N55" s="468">
        <f t="shared" si="10"/>
        <v>1920</v>
      </c>
      <c r="O55" s="397">
        <v>3600</v>
      </c>
      <c r="P55" s="271">
        <v>4249.01</v>
      </c>
      <c r="Q55" s="274">
        <f t="shared" si="11"/>
        <v>-2329.0100000000002</v>
      </c>
      <c r="R55" s="398" t="e">
        <f>O55-#REF!</f>
        <v>#REF!</v>
      </c>
      <c r="S55" s="500"/>
    </row>
    <row r="56" spans="1:19" s="267" customFormat="1" ht="13">
      <c r="A56" s="420" t="s">
        <v>148</v>
      </c>
      <c r="B56" s="278">
        <v>0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654">
        <v>0</v>
      </c>
      <c r="N56" s="468">
        <f t="shared" si="10"/>
        <v>3000</v>
      </c>
      <c r="O56" s="397">
        <v>3000</v>
      </c>
      <c r="P56" s="271">
        <v>924.58999999999992</v>
      </c>
      <c r="Q56" s="274">
        <f t="shared" si="11"/>
        <v>2075.41</v>
      </c>
      <c r="R56" s="398" t="e">
        <f>O56-#REF!</f>
        <v>#REF!</v>
      </c>
      <c r="S56" s="500"/>
    </row>
    <row r="57" spans="1:19" s="267" customFormat="1" ht="13">
      <c r="A57" s="420" t="s">
        <v>149</v>
      </c>
      <c r="B57" s="278">
        <v>0</v>
      </c>
      <c r="C57" s="278">
        <v>0</v>
      </c>
      <c r="D57" s="278">
        <v>500</v>
      </c>
      <c r="E57" s="278">
        <v>0</v>
      </c>
      <c r="F57" s="278">
        <v>0</v>
      </c>
      <c r="G57" s="278">
        <v>500</v>
      </c>
      <c r="H57" s="278">
        <v>0</v>
      </c>
      <c r="I57" s="278">
        <v>0</v>
      </c>
      <c r="J57" s="278">
        <v>500</v>
      </c>
      <c r="K57" s="278">
        <v>0</v>
      </c>
      <c r="L57" s="278">
        <v>0</v>
      </c>
      <c r="M57" s="654">
        <v>500</v>
      </c>
      <c r="N57" s="468">
        <f>SUM(B57:M57)</f>
        <v>2000</v>
      </c>
      <c r="O57" s="397">
        <v>6000</v>
      </c>
      <c r="P57" s="271"/>
      <c r="Q57" s="274">
        <f t="shared" si="11"/>
        <v>2000</v>
      </c>
      <c r="R57" s="398" t="e">
        <f>O57-#REF!</f>
        <v>#REF!</v>
      </c>
      <c r="S57" s="500"/>
    </row>
    <row r="58" spans="1:19" s="267" customFormat="1" ht="13">
      <c r="A58" s="420" t="s">
        <v>150</v>
      </c>
      <c r="B58" s="278">
        <v>0</v>
      </c>
      <c r="C58" s="278">
        <v>0</v>
      </c>
      <c r="D58" s="679">
        <v>8500</v>
      </c>
      <c r="E58" s="679">
        <v>8500</v>
      </c>
      <c r="F58" s="271">
        <v>0</v>
      </c>
      <c r="G58" s="271">
        <v>1000</v>
      </c>
      <c r="H58" s="271">
        <v>11500</v>
      </c>
      <c r="I58" s="271">
        <v>11500</v>
      </c>
      <c r="J58" s="271">
        <v>18000</v>
      </c>
      <c r="K58" s="271">
        <v>38000</v>
      </c>
      <c r="L58" s="271">
        <v>3000</v>
      </c>
      <c r="M58" s="654">
        <v>5000</v>
      </c>
      <c r="N58" s="468">
        <f t="shared" si="10"/>
        <v>105000</v>
      </c>
      <c r="O58" s="397">
        <v>123000</v>
      </c>
      <c r="P58" s="271">
        <v>35418.75</v>
      </c>
      <c r="Q58" s="274">
        <f t="shared" si="11"/>
        <v>69581.25</v>
      </c>
      <c r="R58" s="398" t="e">
        <f>O58-#REF!</f>
        <v>#REF!</v>
      </c>
      <c r="S58" s="500"/>
    </row>
    <row r="59" spans="1:19" s="267" customFormat="1" ht="13">
      <c r="A59" s="420" t="s">
        <v>151</v>
      </c>
      <c r="B59" s="278">
        <v>0</v>
      </c>
      <c r="C59" s="271">
        <v>0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654">
        <v>0</v>
      </c>
      <c r="N59" s="468">
        <f t="shared" si="10"/>
        <v>3000</v>
      </c>
      <c r="O59" s="397">
        <v>3000</v>
      </c>
      <c r="P59" s="271">
        <v>2665.37</v>
      </c>
      <c r="Q59" s="274">
        <f t="shared" si="11"/>
        <v>334.63000000000011</v>
      </c>
      <c r="R59" s="398" t="e">
        <f>O59-#REF!</f>
        <v>#REF!</v>
      </c>
      <c r="S59" s="500"/>
    </row>
    <row r="60" spans="1:19" s="267" customFormat="1" ht="13">
      <c r="A60" s="423" t="s">
        <v>152</v>
      </c>
      <c r="B60" s="639">
        <f t="shared" ref="B60:M60" si="12">SUM(B52:B59)</f>
        <v>10560</v>
      </c>
      <c r="C60" s="469">
        <f t="shared" si="12"/>
        <v>3560</v>
      </c>
      <c r="D60" s="469">
        <f t="shared" si="12"/>
        <v>12560</v>
      </c>
      <c r="E60" s="469">
        <f t="shared" si="12"/>
        <v>12060</v>
      </c>
      <c r="F60" s="469">
        <f t="shared" si="12"/>
        <v>3560</v>
      </c>
      <c r="G60" s="469">
        <f t="shared" si="12"/>
        <v>5060</v>
      </c>
      <c r="H60" s="469">
        <f t="shared" si="12"/>
        <v>15060</v>
      </c>
      <c r="I60" s="469">
        <f t="shared" si="12"/>
        <v>18060</v>
      </c>
      <c r="J60" s="469">
        <f t="shared" si="12"/>
        <v>22060</v>
      </c>
      <c r="K60" s="469">
        <f t="shared" si="12"/>
        <v>44560</v>
      </c>
      <c r="L60" s="469">
        <f t="shared" si="12"/>
        <v>6560</v>
      </c>
      <c r="M60" s="660">
        <f t="shared" si="12"/>
        <v>16060</v>
      </c>
      <c r="N60" s="467">
        <f t="shared" si="10"/>
        <v>169720</v>
      </c>
      <c r="O60" s="406">
        <f>SUM(O52:O59)</f>
        <v>204400</v>
      </c>
      <c r="P60" s="469">
        <v>91929.239999999991</v>
      </c>
      <c r="Q60" s="469">
        <f t="shared" si="11"/>
        <v>77790.760000000009</v>
      </c>
      <c r="R60" s="398" t="e">
        <f>O60-#REF!</f>
        <v>#REF!</v>
      </c>
      <c r="S60" s="500"/>
    </row>
    <row r="61" spans="1:19" s="267" customFormat="1" ht="6" customHeight="1">
      <c r="A61" s="419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656"/>
      <c r="N61" s="468"/>
      <c r="O61" s="397"/>
      <c r="P61" s="133"/>
      <c r="Q61" s="133"/>
      <c r="R61" s="398" t="e">
        <f>O61-#REF!</f>
        <v>#REF!</v>
      </c>
      <c r="S61" s="500"/>
    </row>
    <row r="62" spans="1:19" s="267" customFormat="1" ht="13">
      <c r="A62" s="419" t="s">
        <v>153</v>
      </c>
      <c r="B62" s="414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657"/>
      <c r="N62" s="468"/>
      <c r="O62" s="397"/>
      <c r="P62" s="133"/>
      <c r="Q62" s="133"/>
      <c r="R62" s="398" t="e">
        <f>O62-#REF!</f>
        <v>#REF!</v>
      </c>
      <c r="S62" s="500"/>
    </row>
    <row r="63" spans="1:19" s="267" customFormat="1" ht="13">
      <c r="A63" s="420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654"/>
      <c r="N63" s="467"/>
      <c r="O63" s="406"/>
      <c r="P63" s="271">
        <v>49969.65</v>
      </c>
      <c r="Q63" s="274">
        <f>N63-P63</f>
        <v>-49969.65</v>
      </c>
      <c r="R63" s="398" t="e">
        <f>O63-#REF!</f>
        <v>#REF!</v>
      </c>
      <c r="S63" s="500"/>
    </row>
    <row r="64" spans="1:19" s="267" customFormat="1" ht="13">
      <c r="A64" s="571" t="s">
        <v>155</v>
      </c>
      <c r="B64" s="278">
        <v>0</v>
      </c>
      <c r="C64" s="278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0</v>
      </c>
      <c r="I64" s="278">
        <v>0</v>
      </c>
      <c r="J64" s="278">
        <v>0</v>
      </c>
      <c r="K64" s="278">
        <v>0</v>
      </c>
      <c r="L64" s="278">
        <v>0</v>
      </c>
      <c r="M64" s="654">
        <v>0</v>
      </c>
      <c r="N64" s="467">
        <f>SUM(B64:M64)</f>
        <v>0</v>
      </c>
      <c r="O64" s="397">
        <v>24000</v>
      </c>
      <c r="P64" s="271"/>
      <c r="Q64" s="274"/>
      <c r="R64" s="398" t="e">
        <f>O64-#REF!</f>
        <v>#REF!</v>
      </c>
      <c r="S64" s="500"/>
    </row>
    <row r="65" spans="1:22" s="267" customFormat="1" ht="13">
      <c r="A65" s="571" t="s">
        <v>156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654">
        <v>0</v>
      </c>
      <c r="N65" s="468">
        <f t="shared" ref="N65:N75" si="13">SUM(B65:M65)</f>
        <v>0</v>
      </c>
      <c r="O65" s="397">
        <v>13200</v>
      </c>
      <c r="P65" s="271"/>
      <c r="Q65" s="133"/>
      <c r="R65" s="398" t="e">
        <f>O65-#REF!</f>
        <v>#REF!</v>
      </c>
      <c r="S65" s="500"/>
    </row>
    <row r="66" spans="1:22" s="527" customFormat="1" ht="26">
      <c r="A66" s="491" t="s">
        <v>247</v>
      </c>
      <c r="B66" s="520">
        <v>1500</v>
      </c>
      <c r="C66" s="520">
        <v>0</v>
      </c>
      <c r="D66" s="520">
        <v>1500</v>
      </c>
      <c r="E66" s="520">
        <v>0</v>
      </c>
      <c r="F66" s="520">
        <v>1500</v>
      </c>
      <c r="G66" s="520">
        <v>0</v>
      </c>
      <c r="H66" s="520">
        <v>1500</v>
      </c>
      <c r="I66" s="520">
        <v>0</v>
      </c>
      <c r="J66" s="520">
        <v>1500</v>
      </c>
      <c r="K66" s="520">
        <v>0</v>
      </c>
      <c r="L66" s="520">
        <v>1500</v>
      </c>
      <c r="M66" s="658">
        <v>0</v>
      </c>
      <c r="N66" s="642">
        <f t="shared" si="13"/>
        <v>9000</v>
      </c>
      <c r="O66" s="523">
        <v>18000</v>
      </c>
      <c r="P66" s="521"/>
      <c r="Q66" s="530"/>
      <c r="R66" s="525" t="e">
        <f>O66-#REF!</f>
        <v>#REF!</v>
      </c>
      <c r="S66" s="526" t="s">
        <v>248</v>
      </c>
    </row>
    <row r="67" spans="1:22" s="527" customFormat="1" ht="13">
      <c r="A67" s="491" t="s">
        <v>249</v>
      </c>
      <c r="B67" s="520">
        <v>500</v>
      </c>
      <c r="C67" s="520">
        <v>500</v>
      </c>
      <c r="D67" s="520">
        <v>500</v>
      </c>
      <c r="E67" s="520">
        <v>500</v>
      </c>
      <c r="F67" s="520">
        <v>500</v>
      </c>
      <c r="G67" s="520">
        <v>500</v>
      </c>
      <c r="H67" s="520">
        <v>500</v>
      </c>
      <c r="I67" s="520">
        <v>500</v>
      </c>
      <c r="J67" s="520">
        <v>500</v>
      </c>
      <c r="K67" s="520">
        <v>500</v>
      </c>
      <c r="L67" s="520">
        <v>500</v>
      </c>
      <c r="M67" s="658">
        <v>500</v>
      </c>
      <c r="N67" s="642">
        <f t="shared" si="13"/>
        <v>6000</v>
      </c>
      <c r="O67" s="523"/>
      <c r="P67" s="521"/>
      <c r="Q67" s="530"/>
      <c r="R67" s="525"/>
      <c r="S67" s="526"/>
    </row>
    <row r="68" spans="1:22" s="527" customFormat="1" ht="26">
      <c r="A68" s="519" t="s">
        <v>250</v>
      </c>
      <c r="B68" s="520">
        <v>500</v>
      </c>
      <c r="C68" s="520">
        <v>500</v>
      </c>
      <c r="D68" s="520">
        <v>500</v>
      </c>
      <c r="E68" s="520">
        <v>500</v>
      </c>
      <c r="F68" s="520">
        <v>500</v>
      </c>
      <c r="G68" s="520">
        <v>500</v>
      </c>
      <c r="H68" s="520">
        <v>500</v>
      </c>
      <c r="I68" s="520">
        <v>500</v>
      </c>
      <c r="J68" s="520">
        <v>500</v>
      </c>
      <c r="K68" s="520">
        <v>500</v>
      </c>
      <c r="L68" s="520">
        <v>500</v>
      </c>
      <c r="M68" s="658">
        <v>500</v>
      </c>
      <c r="N68" s="642">
        <f t="shared" si="13"/>
        <v>6000</v>
      </c>
      <c r="O68" s="523">
        <v>9000</v>
      </c>
      <c r="P68" s="521"/>
      <c r="Q68" s="530"/>
      <c r="R68" s="525" t="e">
        <f>O68-#REF!</f>
        <v>#REF!</v>
      </c>
      <c r="S68" s="526" t="s">
        <v>251</v>
      </c>
    </row>
    <row r="69" spans="1:22" s="527" customFormat="1" ht="13">
      <c r="A69" s="519" t="s">
        <v>252</v>
      </c>
      <c r="B69" s="674">
        <v>0</v>
      </c>
      <c r="C69" s="672">
        <v>0</v>
      </c>
      <c r="D69" s="672">
        <v>0</v>
      </c>
      <c r="E69" s="672">
        <v>0</v>
      </c>
      <c r="F69" s="672">
        <v>0</v>
      </c>
      <c r="G69" s="672">
        <v>0</v>
      </c>
      <c r="H69" s="672">
        <v>0</v>
      </c>
      <c r="I69" s="672">
        <v>0</v>
      </c>
      <c r="J69" s="672">
        <v>0</v>
      </c>
      <c r="K69" s="520">
        <v>11000</v>
      </c>
      <c r="L69" s="520">
        <v>0</v>
      </c>
      <c r="M69" s="658">
        <v>0</v>
      </c>
      <c r="N69" s="642">
        <f>SUM(B69:M69)</f>
        <v>11000</v>
      </c>
      <c r="O69" s="523">
        <v>16300</v>
      </c>
      <c r="P69" s="521"/>
      <c r="Q69" s="530"/>
      <c r="R69" s="525" t="e">
        <f>O69-#REF!</f>
        <v>#REF!</v>
      </c>
      <c r="S69" s="526"/>
    </row>
    <row r="70" spans="1:22" s="527" customFormat="1" ht="26">
      <c r="A70" s="519" t="s">
        <v>253</v>
      </c>
      <c r="B70" s="520">
        <v>5000</v>
      </c>
      <c r="C70" s="520">
        <v>5000</v>
      </c>
      <c r="D70" s="520">
        <v>5000</v>
      </c>
      <c r="E70" s="520">
        <v>5000</v>
      </c>
      <c r="F70" s="520">
        <v>5000</v>
      </c>
      <c r="G70" s="520">
        <v>0</v>
      </c>
      <c r="H70" s="520">
        <v>1000</v>
      </c>
      <c r="I70" s="520">
        <v>1000</v>
      </c>
      <c r="J70" s="520">
        <v>1000</v>
      </c>
      <c r="K70" s="520">
        <v>1000</v>
      </c>
      <c r="L70" s="520">
        <v>1000</v>
      </c>
      <c r="M70" s="658">
        <v>1000</v>
      </c>
      <c r="N70" s="642">
        <f t="shared" si="13"/>
        <v>31000</v>
      </c>
      <c r="O70" s="523">
        <v>9000</v>
      </c>
      <c r="P70" s="521"/>
      <c r="Q70" s="543"/>
      <c r="R70" s="525" t="e">
        <f>O70-#REF!</f>
        <v>#REF!</v>
      </c>
      <c r="S70" s="526" t="s">
        <v>251</v>
      </c>
    </row>
    <row r="71" spans="1:22" s="527" customFormat="1" ht="65">
      <c r="A71" s="519" t="s">
        <v>165</v>
      </c>
      <c r="B71" s="520">
        <v>500</v>
      </c>
      <c r="C71" s="520">
        <v>500</v>
      </c>
      <c r="D71" s="520">
        <v>500</v>
      </c>
      <c r="E71" s="520">
        <v>500</v>
      </c>
      <c r="F71" s="520">
        <v>500</v>
      </c>
      <c r="G71" s="520">
        <v>500</v>
      </c>
      <c r="H71" s="520">
        <v>500</v>
      </c>
      <c r="I71" s="520">
        <v>500</v>
      </c>
      <c r="J71" s="520">
        <v>500</v>
      </c>
      <c r="K71" s="520">
        <v>500</v>
      </c>
      <c r="L71" s="520">
        <v>500</v>
      </c>
      <c r="M71" s="658">
        <v>500</v>
      </c>
      <c r="N71" s="642">
        <f t="shared" si="13"/>
        <v>6000</v>
      </c>
      <c r="O71" s="523">
        <v>11500</v>
      </c>
      <c r="P71" s="521">
        <v>40075.839999999997</v>
      </c>
      <c r="Q71" s="524">
        <f>N71-P71</f>
        <v>-34075.839999999997</v>
      </c>
      <c r="R71" s="525" t="e">
        <f>O71-#REF!</f>
        <v>#REF!</v>
      </c>
      <c r="S71" s="526" t="s">
        <v>254</v>
      </c>
    </row>
    <row r="72" spans="1:22" s="267" customFormat="1" ht="12" customHeight="1">
      <c r="A72" s="420" t="s">
        <v>166</v>
      </c>
      <c r="B72" s="278">
        <v>0</v>
      </c>
      <c r="C72" s="278">
        <v>0</v>
      </c>
      <c r="D72" s="278">
        <v>250</v>
      </c>
      <c r="E72" s="278">
        <v>0</v>
      </c>
      <c r="F72" s="278">
        <v>0</v>
      </c>
      <c r="G72" s="278">
        <v>250</v>
      </c>
      <c r="H72" s="278">
        <v>0</v>
      </c>
      <c r="I72" s="278">
        <v>0</v>
      </c>
      <c r="J72" s="278">
        <v>250</v>
      </c>
      <c r="K72" s="278">
        <v>0</v>
      </c>
      <c r="L72" s="278">
        <v>0</v>
      </c>
      <c r="M72" s="654">
        <v>250</v>
      </c>
      <c r="N72" s="468">
        <f t="shared" si="13"/>
        <v>1000</v>
      </c>
      <c r="O72" s="397">
        <v>3000</v>
      </c>
      <c r="P72" s="271">
        <v>6621.17</v>
      </c>
      <c r="Q72" s="274">
        <f t="shared" ref="Q72:Q76" si="14">N72-P72</f>
        <v>-5621.17</v>
      </c>
      <c r="R72" s="398" t="e">
        <f>O72-#REF!</f>
        <v>#REF!</v>
      </c>
      <c r="S72" s="500"/>
    </row>
    <row r="73" spans="1:22" s="267" customFormat="1" ht="13">
      <c r="A73" s="420" t="s">
        <v>168</v>
      </c>
      <c r="B73" s="278">
        <v>0</v>
      </c>
      <c r="C73" s="278">
        <v>0</v>
      </c>
      <c r="D73" s="278">
        <v>0</v>
      </c>
      <c r="E73" s="278">
        <v>0</v>
      </c>
      <c r="F73" s="278">
        <v>2000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2000</v>
      </c>
      <c r="M73" s="654">
        <v>0</v>
      </c>
      <c r="N73" s="468">
        <f t="shared" si="13"/>
        <v>4000</v>
      </c>
      <c r="O73" s="397">
        <v>10000</v>
      </c>
      <c r="P73" s="271">
        <v>2425.1099999999997</v>
      </c>
      <c r="Q73" s="274">
        <f t="shared" si="14"/>
        <v>1574.8900000000003</v>
      </c>
      <c r="R73" s="398" t="e">
        <f>O73-#REF!</f>
        <v>#REF!</v>
      </c>
      <c r="S73" s="500"/>
    </row>
    <row r="74" spans="1:22" s="267" customFormat="1" ht="26">
      <c r="A74" s="420" t="s">
        <v>54</v>
      </c>
      <c r="B74" s="278">
        <v>1000</v>
      </c>
      <c r="C74" s="278">
        <v>1000</v>
      </c>
      <c r="D74" s="278">
        <v>1000</v>
      </c>
      <c r="E74" s="278">
        <v>1000</v>
      </c>
      <c r="F74" s="278">
        <v>1000</v>
      </c>
      <c r="G74" s="278">
        <v>1000</v>
      </c>
      <c r="H74" s="278">
        <v>1000</v>
      </c>
      <c r="I74" s="278">
        <v>1000</v>
      </c>
      <c r="J74" s="278">
        <v>1000</v>
      </c>
      <c r="K74" s="278">
        <v>1000</v>
      </c>
      <c r="L74" s="278">
        <v>4000</v>
      </c>
      <c r="M74" s="654">
        <v>4000</v>
      </c>
      <c r="N74" s="468">
        <f t="shared" si="13"/>
        <v>18000</v>
      </c>
      <c r="O74" s="397">
        <v>30000</v>
      </c>
      <c r="P74" s="271">
        <v>23942.32</v>
      </c>
      <c r="Q74" s="274">
        <f t="shared" si="14"/>
        <v>-5942.32</v>
      </c>
      <c r="R74" s="398" t="e">
        <f>O74-#REF!</f>
        <v>#REF!</v>
      </c>
      <c r="S74" s="500" t="s">
        <v>255</v>
      </c>
    </row>
    <row r="75" spans="1:22" s="267" customFormat="1" ht="13">
      <c r="A75" s="420" t="s">
        <v>56</v>
      </c>
      <c r="B75" s="278">
        <v>400</v>
      </c>
      <c r="C75" s="278">
        <v>400</v>
      </c>
      <c r="D75" s="278">
        <v>400</v>
      </c>
      <c r="E75" s="278">
        <v>400</v>
      </c>
      <c r="F75" s="278">
        <v>400</v>
      </c>
      <c r="G75" s="278">
        <v>400</v>
      </c>
      <c r="H75" s="278">
        <v>400</v>
      </c>
      <c r="I75" s="278">
        <v>400</v>
      </c>
      <c r="J75" s="278">
        <v>3000</v>
      </c>
      <c r="K75" s="278">
        <v>400</v>
      </c>
      <c r="L75" s="278">
        <v>400</v>
      </c>
      <c r="M75" s="654">
        <v>400</v>
      </c>
      <c r="N75" s="468">
        <f t="shared" si="13"/>
        <v>7400</v>
      </c>
      <c r="O75" s="397">
        <v>14200</v>
      </c>
      <c r="P75" s="271">
        <v>13154.77</v>
      </c>
      <c r="Q75" s="274">
        <f t="shared" si="14"/>
        <v>-5754.77</v>
      </c>
      <c r="R75" s="398" t="e">
        <f>O75-#REF!</f>
        <v>#REF!</v>
      </c>
      <c r="S75" s="500"/>
    </row>
    <row r="76" spans="1:22" s="267" customFormat="1" ht="13">
      <c r="A76" s="423" t="s">
        <v>169</v>
      </c>
      <c r="B76" s="639">
        <f t="shared" ref="B76:M76" si="15">SUM(B63:B75)</f>
        <v>9400</v>
      </c>
      <c r="C76" s="469">
        <f t="shared" si="15"/>
        <v>7900</v>
      </c>
      <c r="D76" s="469">
        <f t="shared" si="15"/>
        <v>9650</v>
      </c>
      <c r="E76" s="469">
        <f t="shared" si="15"/>
        <v>7900</v>
      </c>
      <c r="F76" s="469">
        <f t="shared" si="15"/>
        <v>11400</v>
      </c>
      <c r="G76" s="469">
        <f t="shared" si="15"/>
        <v>3150</v>
      </c>
      <c r="H76" s="469">
        <f t="shared" si="15"/>
        <v>5400</v>
      </c>
      <c r="I76" s="469">
        <f t="shared" si="15"/>
        <v>3900</v>
      </c>
      <c r="J76" s="469">
        <f t="shared" si="15"/>
        <v>8250</v>
      </c>
      <c r="K76" s="469">
        <f t="shared" si="15"/>
        <v>14900</v>
      </c>
      <c r="L76" s="469">
        <f t="shared" si="15"/>
        <v>10400</v>
      </c>
      <c r="M76" s="660">
        <f t="shared" si="15"/>
        <v>7150</v>
      </c>
      <c r="N76" s="644">
        <f>SUM(B76:M76)</f>
        <v>99400</v>
      </c>
      <c r="O76" s="406">
        <f>SUM(O64:O75)</f>
        <v>158200</v>
      </c>
      <c r="P76" s="469">
        <v>137632.61999999997</v>
      </c>
      <c r="Q76" s="469">
        <f t="shared" si="14"/>
        <v>-38232.619999999966</v>
      </c>
      <c r="R76" s="398" t="e">
        <f>O76-#REF!</f>
        <v>#REF!</v>
      </c>
      <c r="S76" s="503"/>
      <c r="T76" s="369"/>
      <c r="U76" s="369"/>
      <c r="V76" s="369"/>
    </row>
    <row r="77" spans="1:22" s="267" customFormat="1" ht="10" customHeight="1">
      <c r="A77" s="419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656"/>
      <c r="N77" s="468"/>
      <c r="O77" s="397"/>
      <c r="P77" s="370"/>
      <c r="Q77" s="370"/>
      <c r="R77" s="398" t="e">
        <f>O77-#REF!</f>
        <v>#REF!</v>
      </c>
      <c r="S77" s="503"/>
      <c r="T77" s="369"/>
      <c r="U77" s="369"/>
      <c r="V77" s="369"/>
    </row>
    <row r="78" spans="1:22" s="267" customFormat="1" ht="13">
      <c r="A78" s="419" t="s">
        <v>170</v>
      </c>
      <c r="B78" s="278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654"/>
      <c r="N78" s="468"/>
      <c r="O78" s="397"/>
      <c r="P78" s="370"/>
      <c r="Q78" s="370"/>
      <c r="R78" s="398" t="e">
        <f>O78-#REF!</f>
        <v>#REF!</v>
      </c>
      <c r="S78" s="506"/>
      <c r="T78" s="268"/>
      <c r="U78" s="268"/>
      <c r="V78" s="369"/>
    </row>
    <row r="79" spans="1:22" s="267" customFormat="1" ht="13">
      <c r="A79" s="420" t="s">
        <v>67</v>
      </c>
      <c r="B79" s="278">
        <v>0</v>
      </c>
      <c r="C79" s="278">
        <v>0</v>
      </c>
      <c r="D79" s="278">
        <v>0</v>
      </c>
      <c r="E79" s="278">
        <v>0</v>
      </c>
      <c r="F79" s="278">
        <v>0</v>
      </c>
      <c r="G79" s="278">
        <v>0</v>
      </c>
      <c r="H79" s="278">
        <v>7000</v>
      </c>
      <c r="I79" s="278">
        <v>0</v>
      </c>
      <c r="J79" s="278">
        <v>7000</v>
      </c>
      <c r="K79" s="278">
        <v>0</v>
      </c>
      <c r="L79" s="278">
        <v>0</v>
      </c>
      <c r="M79" s="654">
        <v>0</v>
      </c>
      <c r="N79" s="468">
        <f t="shared" ref="N79:N86" si="16">SUM(B79:M79)</f>
        <v>14000</v>
      </c>
      <c r="O79" s="397">
        <v>21500</v>
      </c>
      <c r="P79" s="271">
        <v>5000</v>
      </c>
      <c r="Q79" s="286">
        <f>N79-P79</f>
        <v>9000</v>
      </c>
      <c r="R79" s="398" t="e">
        <f>O79-#REF!</f>
        <v>#REF!</v>
      </c>
      <c r="S79" s="506"/>
      <c r="T79" s="268"/>
      <c r="U79" s="268"/>
      <c r="V79" s="369"/>
    </row>
    <row r="80" spans="1:22" s="267" customFormat="1" ht="13">
      <c r="A80" s="420" t="s">
        <v>68</v>
      </c>
      <c r="B80" s="278">
        <v>0</v>
      </c>
      <c r="C80" s="278">
        <v>0</v>
      </c>
      <c r="D80" s="278">
        <v>0</v>
      </c>
      <c r="E80" s="278">
        <v>0</v>
      </c>
      <c r="F80" s="278">
        <v>0</v>
      </c>
      <c r="G80" s="278">
        <v>0</v>
      </c>
      <c r="H80" s="278">
        <v>1500</v>
      </c>
      <c r="I80" s="278">
        <v>0</v>
      </c>
      <c r="J80" s="278">
        <v>1500</v>
      </c>
      <c r="K80" s="278">
        <v>0</v>
      </c>
      <c r="L80" s="278">
        <v>0</v>
      </c>
      <c r="M80" s="654">
        <v>0</v>
      </c>
      <c r="N80" s="468">
        <f t="shared" si="16"/>
        <v>3000</v>
      </c>
      <c r="O80" s="397">
        <v>4500</v>
      </c>
      <c r="P80" s="271">
        <v>0</v>
      </c>
      <c r="Q80" s="286">
        <f t="shared" ref="Q80:Q85" si="17">N80-P80</f>
        <v>3000</v>
      </c>
      <c r="R80" s="398" t="e">
        <f>O80-#REF!</f>
        <v>#REF!</v>
      </c>
      <c r="S80" s="506"/>
      <c r="T80" s="268"/>
      <c r="U80" s="268"/>
      <c r="V80" s="369"/>
    </row>
    <row r="81" spans="1:22" s="267" customFormat="1" ht="13">
      <c r="A81" s="420" t="s">
        <v>69</v>
      </c>
      <c r="B81" s="278">
        <v>0</v>
      </c>
      <c r="C81" s="278">
        <v>0</v>
      </c>
      <c r="D81" s="278">
        <v>0</v>
      </c>
      <c r="E81" s="278">
        <v>0</v>
      </c>
      <c r="F81" s="278">
        <v>0</v>
      </c>
      <c r="G81" s="278">
        <v>0</v>
      </c>
      <c r="H81" s="278">
        <v>6000</v>
      </c>
      <c r="I81" s="278">
        <v>0</v>
      </c>
      <c r="J81" s="278">
        <v>6000</v>
      </c>
      <c r="K81" s="278">
        <v>0</v>
      </c>
      <c r="L81" s="278">
        <v>0</v>
      </c>
      <c r="M81" s="654">
        <v>0</v>
      </c>
      <c r="N81" s="468">
        <f t="shared" si="16"/>
        <v>12000</v>
      </c>
      <c r="O81" s="397">
        <v>18000</v>
      </c>
      <c r="P81" s="271">
        <v>7500</v>
      </c>
      <c r="Q81" s="286">
        <f t="shared" si="17"/>
        <v>4500</v>
      </c>
      <c r="R81" s="398" t="e">
        <f>O81-#REF!</f>
        <v>#REF!</v>
      </c>
      <c r="S81" s="506"/>
      <c r="T81" s="268"/>
      <c r="U81" s="268"/>
      <c r="V81" s="369"/>
    </row>
    <row r="82" spans="1:22" s="267" customFormat="1" ht="13">
      <c r="A82" s="420" t="s">
        <v>70</v>
      </c>
      <c r="B82" s="278">
        <v>0</v>
      </c>
      <c r="C82" s="278">
        <v>0</v>
      </c>
      <c r="D82" s="278">
        <v>0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654">
        <v>0</v>
      </c>
      <c r="N82" s="468">
        <f t="shared" si="16"/>
        <v>0</v>
      </c>
      <c r="O82" s="397">
        <v>0</v>
      </c>
      <c r="P82" s="271">
        <v>0</v>
      </c>
      <c r="Q82" s="286">
        <f t="shared" si="17"/>
        <v>0</v>
      </c>
      <c r="R82" s="398" t="e">
        <f>O82-#REF!</f>
        <v>#REF!</v>
      </c>
      <c r="S82" s="506"/>
      <c r="T82" s="268"/>
      <c r="U82" s="268"/>
      <c r="V82" s="369"/>
    </row>
    <row r="83" spans="1:22" s="267" customFormat="1" ht="13">
      <c r="A83" s="420" t="s">
        <v>71</v>
      </c>
      <c r="B83" s="278">
        <v>0</v>
      </c>
      <c r="C83" s="278">
        <v>0</v>
      </c>
      <c r="D83" s="278">
        <v>0</v>
      </c>
      <c r="E83" s="278">
        <v>0</v>
      </c>
      <c r="F83" s="278">
        <v>0</v>
      </c>
      <c r="G83" s="278">
        <v>0</v>
      </c>
      <c r="H83" s="278">
        <v>0</v>
      </c>
      <c r="I83" s="278">
        <v>4300</v>
      </c>
      <c r="J83" s="278">
        <v>0</v>
      </c>
      <c r="K83" s="278">
        <v>4300</v>
      </c>
      <c r="L83" s="278">
        <v>0</v>
      </c>
      <c r="M83" s="654">
        <v>0</v>
      </c>
      <c r="N83" s="468">
        <f t="shared" si="16"/>
        <v>8600</v>
      </c>
      <c r="O83" s="397">
        <v>12900</v>
      </c>
      <c r="P83" s="271">
        <v>0</v>
      </c>
      <c r="Q83" s="286">
        <f t="shared" si="17"/>
        <v>8600</v>
      </c>
      <c r="R83" s="398" t="e">
        <f>O83-#REF!</f>
        <v>#REF!</v>
      </c>
      <c r="S83" s="506"/>
      <c r="T83" s="268"/>
      <c r="U83" s="268"/>
      <c r="V83" s="369"/>
    </row>
    <row r="84" spans="1:22" s="267" customFormat="1" ht="13">
      <c r="A84" s="420" t="s">
        <v>72</v>
      </c>
      <c r="B84" s="278">
        <v>0</v>
      </c>
      <c r="C84" s="278">
        <v>0</v>
      </c>
      <c r="D84" s="278">
        <v>0</v>
      </c>
      <c r="E84" s="278">
        <v>0</v>
      </c>
      <c r="F84" s="278">
        <v>0</v>
      </c>
      <c r="G84" s="278">
        <v>0</v>
      </c>
      <c r="H84" s="278">
        <v>8400</v>
      </c>
      <c r="I84" s="278">
        <v>0</v>
      </c>
      <c r="J84" s="278">
        <v>8400</v>
      </c>
      <c r="K84" s="278">
        <v>0</v>
      </c>
      <c r="L84" s="278">
        <v>0</v>
      </c>
      <c r="M84" s="654">
        <v>0</v>
      </c>
      <c r="N84" s="468">
        <f t="shared" si="16"/>
        <v>16800</v>
      </c>
      <c r="O84" s="397">
        <v>25200</v>
      </c>
      <c r="P84" s="271">
        <v>0</v>
      </c>
      <c r="Q84" s="286">
        <f t="shared" si="17"/>
        <v>16800</v>
      </c>
      <c r="R84" s="398" t="e">
        <f>O84-#REF!</f>
        <v>#REF!</v>
      </c>
      <c r="S84" s="506"/>
      <c r="T84" s="268"/>
      <c r="U84" s="268"/>
      <c r="V84" s="369"/>
    </row>
    <row r="85" spans="1:22" s="267" customFormat="1" ht="13">
      <c r="A85" s="420" t="s">
        <v>73</v>
      </c>
      <c r="B85" s="278">
        <v>0</v>
      </c>
      <c r="C85" s="278">
        <v>0</v>
      </c>
      <c r="D85" s="278">
        <v>0</v>
      </c>
      <c r="E85" s="278">
        <v>0</v>
      </c>
      <c r="F85" s="278">
        <v>0</v>
      </c>
      <c r="G85" s="278">
        <v>0</v>
      </c>
      <c r="H85" s="278">
        <v>9000</v>
      </c>
      <c r="I85" s="278">
        <v>0</v>
      </c>
      <c r="J85" s="278">
        <v>9000</v>
      </c>
      <c r="K85" s="278">
        <v>0</v>
      </c>
      <c r="L85" s="278">
        <v>0</v>
      </c>
      <c r="M85" s="654">
        <v>0</v>
      </c>
      <c r="N85" s="468">
        <f t="shared" si="16"/>
        <v>18000</v>
      </c>
      <c r="O85" s="397">
        <v>27000</v>
      </c>
      <c r="P85" s="271">
        <v>15442</v>
      </c>
      <c r="Q85" s="286">
        <f t="shared" si="17"/>
        <v>2558</v>
      </c>
      <c r="R85" s="398" t="e">
        <f>O85-#REF!</f>
        <v>#REF!</v>
      </c>
      <c r="S85" s="503"/>
      <c r="T85" s="369"/>
      <c r="U85" s="369"/>
      <c r="V85" s="369"/>
    </row>
    <row r="86" spans="1:22" s="267" customFormat="1" ht="13">
      <c r="A86" s="419" t="s">
        <v>171</v>
      </c>
      <c r="B86" s="639">
        <f>SUM(B79:B85)</f>
        <v>0</v>
      </c>
      <c r="C86" s="469">
        <f t="shared" ref="C86:M86" si="18">SUM(C79:C85)</f>
        <v>0</v>
      </c>
      <c r="D86" s="469">
        <f t="shared" si="18"/>
        <v>0</v>
      </c>
      <c r="E86" s="469">
        <f t="shared" si="18"/>
        <v>0</v>
      </c>
      <c r="F86" s="469">
        <f t="shared" si="18"/>
        <v>0</v>
      </c>
      <c r="G86" s="469">
        <f t="shared" si="18"/>
        <v>0</v>
      </c>
      <c r="H86" s="469">
        <f t="shared" si="18"/>
        <v>31900</v>
      </c>
      <c r="I86" s="469">
        <f t="shared" si="18"/>
        <v>4300</v>
      </c>
      <c r="J86" s="469">
        <f t="shared" si="18"/>
        <v>31900</v>
      </c>
      <c r="K86" s="469">
        <f t="shared" si="18"/>
        <v>4300</v>
      </c>
      <c r="L86" s="469">
        <f t="shared" si="18"/>
        <v>0</v>
      </c>
      <c r="M86" s="660">
        <f t="shared" si="18"/>
        <v>0</v>
      </c>
      <c r="N86" s="467">
        <f t="shared" si="16"/>
        <v>72400</v>
      </c>
      <c r="O86" s="399">
        <f>0+SUM(O79:O85)</f>
        <v>109100</v>
      </c>
      <c r="P86" s="469">
        <v>27942</v>
      </c>
      <c r="Q86" s="469">
        <f>N86-P86</f>
        <v>44458</v>
      </c>
      <c r="R86" s="398" t="e">
        <f>O86-#REF!</f>
        <v>#REF!</v>
      </c>
      <c r="S86" s="503"/>
      <c r="T86" s="369"/>
      <c r="U86" s="369"/>
      <c r="V86" s="369"/>
    </row>
    <row r="87" spans="1:22" s="267" customFormat="1" ht="6" hidden="1" customHeight="1">
      <c r="A87" s="419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656"/>
      <c r="N87" s="468"/>
      <c r="O87" s="397"/>
      <c r="P87" s="370"/>
      <c r="Q87" s="370"/>
      <c r="R87" s="398" t="e">
        <f>O87-#REF!</f>
        <v>#REF!</v>
      </c>
      <c r="S87" s="503"/>
      <c r="T87" s="369"/>
      <c r="U87" s="369"/>
      <c r="V87" s="369"/>
    </row>
    <row r="88" spans="1:22" s="267" customFormat="1" ht="13" hidden="1">
      <c r="A88" s="424" t="s">
        <v>172</v>
      </c>
      <c r="B88" s="278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654"/>
      <c r="N88" s="468"/>
      <c r="O88" s="397"/>
      <c r="P88" s="370"/>
      <c r="Q88" s="370"/>
      <c r="R88" s="398" t="e">
        <f>O88-#REF!</f>
        <v>#REF!</v>
      </c>
      <c r="S88" s="503"/>
      <c r="T88" s="369"/>
      <c r="U88" s="369"/>
      <c r="V88" s="369"/>
    </row>
    <row r="89" spans="1:22" s="267" customFormat="1" ht="13" hidden="1">
      <c r="A89" s="425" t="s">
        <v>173</v>
      </c>
      <c r="B89" s="278" t="e">
        <f>#REF!-#REF!</f>
        <v>#REF!</v>
      </c>
      <c r="C89" s="271" t="e">
        <f>#REF!-#REF!</f>
        <v>#REF!</v>
      </c>
      <c r="D89" s="271" t="e">
        <f>B89-#REF!</f>
        <v>#REF!</v>
      </c>
      <c r="E89" s="271" t="e">
        <f t="shared" ref="E89:M89" si="19">C89-B89</f>
        <v>#REF!</v>
      </c>
      <c r="F89" s="271" t="e">
        <f t="shared" si="19"/>
        <v>#REF!</v>
      </c>
      <c r="G89" s="271" t="e">
        <f t="shared" si="19"/>
        <v>#REF!</v>
      </c>
      <c r="H89" s="271" t="e">
        <f t="shared" si="19"/>
        <v>#REF!</v>
      </c>
      <c r="I89" s="271" t="e">
        <f t="shared" si="19"/>
        <v>#REF!</v>
      </c>
      <c r="J89" s="271" t="e">
        <f t="shared" si="19"/>
        <v>#REF!</v>
      </c>
      <c r="K89" s="271" t="e">
        <f t="shared" si="19"/>
        <v>#REF!</v>
      </c>
      <c r="L89" s="271" t="e">
        <f t="shared" si="19"/>
        <v>#REF!</v>
      </c>
      <c r="M89" s="654" t="e">
        <f t="shared" si="19"/>
        <v>#REF!</v>
      </c>
      <c r="N89" s="468"/>
      <c r="O89" s="397"/>
      <c r="P89" s="370"/>
      <c r="Q89" s="370"/>
      <c r="R89" s="398" t="e">
        <f>O89-#REF!</f>
        <v>#REF!</v>
      </c>
      <c r="S89" s="503"/>
      <c r="T89" s="369"/>
      <c r="U89" s="369"/>
      <c r="V89" s="369"/>
    </row>
    <row r="90" spans="1:22" s="267" customFormat="1" ht="13" hidden="1">
      <c r="A90" s="425" t="s">
        <v>174</v>
      </c>
      <c r="B90" s="278">
        <f>0</f>
        <v>0</v>
      </c>
      <c r="C90" s="271">
        <f>0</f>
        <v>0</v>
      </c>
      <c r="D90" s="271">
        <f>0</f>
        <v>0</v>
      </c>
      <c r="E90" s="271">
        <f>0</f>
        <v>0</v>
      </c>
      <c r="F90" s="271">
        <f>0</f>
        <v>0</v>
      </c>
      <c r="G90" s="271">
        <f>0</f>
        <v>0</v>
      </c>
      <c r="H90" s="271">
        <f>0</f>
        <v>0</v>
      </c>
      <c r="I90" s="271">
        <f>0</f>
        <v>0</v>
      </c>
      <c r="J90" s="271">
        <f>0</f>
        <v>0</v>
      </c>
      <c r="K90" s="271">
        <v>0</v>
      </c>
      <c r="L90" s="271">
        <f>0</f>
        <v>0</v>
      </c>
      <c r="M90" s="654">
        <f>0</f>
        <v>0</v>
      </c>
      <c r="N90" s="468"/>
      <c r="O90" s="397"/>
      <c r="P90" s="370"/>
      <c r="Q90" s="370"/>
      <c r="R90" s="398" t="e">
        <f>O90-#REF!</f>
        <v>#REF!</v>
      </c>
      <c r="S90" s="503"/>
      <c r="T90" s="369"/>
      <c r="U90" s="369"/>
      <c r="V90" s="369"/>
    </row>
    <row r="91" spans="1:22" s="267" customFormat="1" ht="13" hidden="1">
      <c r="A91" s="424" t="s">
        <v>175</v>
      </c>
      <c r="B91" s="278" t="e">
        <f>SUM(B89:B90)</f>
        <v>#REF!</v>
      </c>
      <c r="C91" s="271" t="e">
        <f t="shared" ref="C91:M91" si="20">SUM(C89:C90)</f>
        <v>#REF!</v>
      </c>
      <c r="D91" s="271" t="e">
        <f t="shared" si="20"/>
        <v>#REF!</v>
      </c>
      <c r="E91" s="271" t="e">
        <f t="shared" si="20"/>
        <v>#REF!</v>
      </c>
      <c r="F91" s="271" t="e">
        <f t="shared" si="20"/>
        <v>#REF!</v>
      </c>
      <c r="G91" s="271" t="e">
        <f t="shared" si="20"/>
        <v>#REF!</v>
      </c>
      <c r="H91" s="271" t="e">
        <f t="shared" si="20"/>
        <v>#REF!</v>
      </c>
      <c r="I91" s="271" t="e">
        <f t="shared" si="20"/>
        <v>#REF!</v>
      </c>
      <c r="J91" s="271" t="e">
        <f t="shared" si="20"/>
        <v>#REF!</v>
      </c>
      <c r="K91" s="271" t="e">
        <f t="shared" si="20"/>
        <v>#REF!</v>
      </c>
      <c r="L91" s="271" t="e">
        <f t="shared" si="20"/>
        <v>#REF!</v>
      </c>
      <c r="M91" s="654" t="e">
        <f t="shared" si="20"/>
        <v>#REF!</v>
      </c>
      <c r="N91" s="468"/>
      <c r="O91" s="397"/>
      <c r="P91" s="370"/>
      <c r="Q91" s="370"/>
      <c r="R91" s="398" t="e">
        <f>O91-#REF!</f>
        <v>#REF!</v>
      </c>
      <c r="S91" s="503"/>
      <c r="T91" s="369"/>
      <c r="U91" s="369"/>
      <c r="V91" s="369"/>
    </row>
    <row r="92" spans="1:22" s="267" customFormat="1" ht="15" customHeight="1">
      <c r="A92" s="419"/>
      <c r="B92" s="278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654"/>
      <c r="N92" s="468"/>
      <c r="O92" s="397"/>
      <c r="P92" s="370"/>
      <c r="Q92" s="370"/>
      <c r="R92" s="398" t="e">
        <f>O92-#REF!</f>
        <v>#REF!</v>
      </c>
      <c r="S92" s="503"/>
      <c r="T92" s="369"/>
      <c r="U92" s="369"/>
      <c r="V92" s="369"/>
    </row>
    <row r="93" spans="1:22" s="267" customFormat="1" ht="13">
      <c r="A93" s="419" t="s">
        <v>176</v>
      </c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654"/>
      <c r="N93" s="468"/>
      <c r="O93" s="397"/>
      <c r="P93" s="133"/>
      <c r="Q93" s="133"/>
      <c r="R93" s="398" t="e">
        <f>O93-#REF!</f>
        <v>#REF!</v>
      </c>
      <c r="S93" s="500"/>
    </row>
    <row r="94" spans="1:22" s="267" customFormat="1" ht="13">
      <c r="A94" s="420" t="s">
        <v>177</v>
      </c>
      <c r="B94" s="382">
        <v>1000</v>
      </c>
      <c r="C94" s="675">
        <v>0</v>
      </c>
      <c r="D94" s="675">
        <v>0</v>
      </c>
      <c r="E94" s="675">
        <v>0</v>
      </c>
      <c r="F94" s="675">
        <v>0</v>
      </c>
      <c r="G94" s="382">
        <v>1000</v>
      </c>
      <c r="H94" s="382">
        <v>0</v>
      </c>
      <c r="I94" s="382">
        <v>0</v>
      </c>
      <c r="J94" s="382">
        <v>0</v>
      </c>
      <c r="K94" s="382">
        <v>0</v>
      </c>
      <c r="L94" s="382">
        <v>0</v>
      </c>
      <c r="M94" s="661">
        <v>1000</v>
      </c>
      <c r="N94" s="645">
        <f t="shared" ref="N94:N98" si="21">SUM(B94:M94)</f>
        <v>3000</v>
      </c>
      <c r="O94" s="397">
        <v>16000</v>
      </c>
      <c r="P94" s="271">
        <v>10934</v>
      </c>
      <c r="Q94" s="274">
        <f>N94-P94</f>
        <v>-7934</v>
      </c>
      <c r="R94" s="398" t="e">
        <f>O94-#REF!</f>
        <v>#REF!</v>
      </c>
      <c r="S94" s="500"/>
    </row>
    <row r="95" spans="1:22" s="267" customFormat="1" ht="13">
      <c r="A95" s="420" t="s">
        <v>178</v>
      </c>
      <c r="B95" s="278">
        <v>2100</v>
      </c>
      <c r="C95" s="278">
        <v>2100</v>
      </c>
      <c r="D95" s="278">
        <v>2100</v>
      </c>
      <c r="E95" s="278">
        <v>2100</v>
      </c>
      <c r="F95" s="278">
        <v>2100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654">
        <v>0</v>
      </c>
      <c r="N95" s="468">
        <f t="shared" si="21"/>
        <v>10500</v>
      </c>
      <c r="O95" s="397">
        <v>15600</v>
      </c>
      <c r="P95" s="271">
        <v>40387.379999999997</v>
      </c>
      <c r="Q95" s="274">
        <f>N95-P95</f>
        <v>-29887.379999999997</v>
      </c>
      <c r="R95" s="398" t="e">
        <f>O95-#REF!</f>
        <v>#REF!</v>
      </c>
      <c r="S95" s="500"/>
    </row>
    <row r="96" spans="1:22" s="267" customFormat="1" ht="13">
      <c r="A96" s="420" t="s">
        <v>180</v>
      </c>
      <c r="B96" s="278">
        <v>0</v>
      </c>
      <c r="C96" s="278">
        <v>0</v>
      </c>
      <c r="D96" s="278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654">
        <v>0</v>
      </c>
      <c r="N96" s="468">
        <f t="shared" si="21"/>
        <v>0</v>
      </c>
      <c r="O96" s="397">
        <v>0</v>
      </c>
      <c r="P96" s="271"/>
      <c r="Q96" s="274"/>
      <c r="R96" s="398" t="e">
        <f>O96-#REF!</f>
        <v>#REF!</v>
      </c>
      <c r="S96" s="500"/>
    </row>
    <row r="97" spans="1:19" s="267" customFormat="1" ht="13">
      <c r="A97" s="420" t="s">
        <v>181</v>
      </c>
      <c r="B97" s="278">
        <v>0</v>
      </c>
      <c r="C97" s="278">
        <v>0</v>
      </c>
      <c r="D97" s="278">
        <v>0</v>
      </c>
      <c r="E97" s="278">
        <v>0</v>
      </c>
      <c r="F97" s="278">
        <v>0</v>
      </c>
      <c r="G97" s="278">
        <v>0</v>
      </c>
      <c r="H97" s="278">
        <v>0</v>
      </c>
      <c r="I97" s="278">
        <v>0</v>
      </c>
      <c r="J97" s="278">
        <v>0</v>
      </c>
      <c r="K97" s="278">
        <v>0</v>
      </c>
      <c r="L97" s="278">
        <v>0</v>
      </c>
      <c r="M97" s="654">
        <v>0</v>
      </c>
      <c r="N97" s="468">
        <f t="shared" si="21"/>
        <v>0</v>
      </c>
      <c r="O97" s="397">
        <v>0</v>
      </c>
      <c r="P97" s="271"/>
      <c r="Q97" s="274"/>
      <c r="R97" s="398" t="e">
        <f>O97-#REF!</f>
        <v>#REF!</v>
      </c>
      <c r="S97" s="500"/>
    </row>
    <row r="98" spans="1:19" s="267" customFormat="1" ht="13">
      <c r="A98" s="420" t="s">
        <v>182</v>
      </c>
      <c r="B98" s="278">
        <v>500</v>
      </c>
      <c r="C98" s="278">
        <v>500</v>
      </c>
      <c r="D98" s="278">
        <v>500</v>
      </c>
      <c r="E98" s="278">
        <v>500</v>
      </c>
      <c r="F98" s="278">
        <v>500</v>
      </c>
      <c r="G98" s="278">
        <v>500</v>
      </c>
      <c r="H98" s="278">
        <v>500</v>
      </c>
      <c r="I98" s="278">
        <v>500</v>
      </c>
      <c r="J98" s="278">
        <v>500</v>
      </c>
      <c r="K98" s="278">
        <v>500</v>
      </c>
      <c r="L98" s="278">
        <v>500</v>
      </c>
      <c r="M98" s="654">
        <v>500</v>
      </c>
      <c r="N98" s="468">
        <f t="shared" si="21"/>
        <v>6000</v>
      </c>
      <c r="O98" s="397">
        <v>12500</v>
      </c>
      <c r="P98" s="271"/>
      <c r="Q98" s="274"/>
      <c r="R98" s="398" t="e">
        <f>O98-#REF!</f>
        <v>#REF!</v>
      </c>
      <c r="S98" s="500"/>
    </row>
    <row r="99" spans="1:19" s="267" customFormat="1" ht="13">
      <c r="A99" s="420" t="s">
        <v>184</v>
      </c>
      <c r="B99" s="278"/>
      <c r="C99" s="278"/>
      <c r="D99" s="278"/>
      <c r="E99" s="278"/>
      <c r="F99" s="278"/>
      <c r="G99" s="278"/>
      <c r="H99" s="271"/>
      <c r="I99" s="271"/>
      <c r="J99" s="271"/>
      <c r="K99" s="271"/>
      <c r="L99" s="271"/>
      <c r="M99" s="654"/>
      <c r="N99" s="646"/>
      <c r="O99" s="397"/>
      <c r="P99" s="271"/>
      <c r="Q99" s="274">
        <f>N99-P99</f>
        <v>0</v>
      </c>
      <c r="R99" s="398" t="e">
        <f>O99-#REF!</f>
        <v>#REF!</v>
      </c>
      <c r="S99" s="500"/>
    </row>
    <row r="100" spans="1:19" s="267" customFormat="1" ht="13">
      <c r="A100" s="420" t="s">
        <v>186</v>
      </c>
      <c r="B100" s="367">
        <v>0</v>
      </c>
      <c r="C100" s="278">
        <v>0</v>
      </c>
      <c r="D100" s="278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78">
        <v>0</v>
      </c>
      <c r="K100" s="677">
        <v>0</v>
      </c>
      <c r="L100" s="278">
        <v>0</v>
      </c>
      <c r="M100" s="654">
        <v>0</v>
      </c>
      <c r="N100" s="468">
        <f>SUM(B100:M100)</f>
        <v>0</v>
      </c>
      <c r="O100" s="397">
        <v>3500</v>
      </c>
      <c r="P100" s="271">
        <v>0</v>
      </c>
      <c r="Q100" s="274">
        <f>N100-P100</f>
        <v>0</v>
      </c>
      <c r="R100" s="398" t="e">
        <f>O100-#REF!</f>
        <v>#REF!</v>
      </c>
      <c r="S100" s="500"/>
    </row>
    <row r="101" spans="1:19" s="267" customFormat="1" ht="13">
      <c r="A101" s="420" t="s">
        <v>187</v>
      </c>
      <c r="B101" s="367">
        <v>0</v>
      </c>
      <c r="C101" s="278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677">
        <v>0</v>
      </c>
      <c r="L101" s="278">
        <v>0</v>
      </c>
      <c r="M101" s="654">
        <v>0</v>
      </c>
      <c r="N101" s="468">
        <f t="shared" ref="N101:N107" si="22">SUM(B101:M101)</f>
        <v>0</v>
      </c>
      <c r="O101" s="397">
        <v>1500</v>
      </c>
      <c r="P101" s="271">
        <v>11057.409999999998</v>
      </c>
      <c r="Q101" s="274">
        <f>N101-P101</f>
        <v>-11057.409999999998</v>
      </c>
      <c r="R101" s="398" t="e">
        <f>O101-#REF!</f>
        <v>#REF!</v>
      </c>
      <c r="S101" s="500"/>
    </row>
    <row r="102" spans="1:19" s="267" customFormat="1" ht="13">
      <c r="A102" s="420" t="s">
        <v>188</v>
      </c>
      <c r="B102" s="367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677">
        <v>0</v>
      </c>
      <c r="L102" s="278">
        <v>0</v>
      </c>
      <c r="M102" s="654">
        <v>0</v>
      </c>
      <c r="N102" s="468">
        <f>SUM(B102:M102)</f>
        <v>0</v>
      </c>
      <c r="O102" s="397">
        <v>1000</v>
      </c>
      <c r="P102" s="271">
        <v>5082.8500000000004</v>
      </c>
      <c r="Q102" s="274">
        <f>N102-P102</f>
        <v>-5082.8500000000004</v>
      </c>
      <c r="R102" s="398" t="e">
        <f>O102-#REF!</f>
        <v>#REF!</v>
      </c>
      <c r="S102" s="500"/>
    </row>
    <row r="103" spans="1:19" s="267" customFormat="1" ht="13">
      <c r="A103" s="420" t="s">
        <v>189</v>
      </c>
      <c r="B103" s="367">
        <v>0</v>
      </c>
      <c r="C103" s="278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677">
        <v>0</v>
      </c>
      <c r="L103" s="278">
        <v>0</v>
      </c>
      <c r="M103" s="654">
        <v>0</v>
      </c>
      <c r="N103" s="468">
        <f t="shared" si="22"/>
        <v>0</v>
      </c>
      <c r="O103" s="397">
        <v>1000</v>
      </c>
      <c r="P103" s="271">
        <v>7928.23</v>
      </c>
      <c r="Q103" s="274">
        <f>N103-P103</f>
        <v>-7928.23</v>
      </c>
      <c r="R103" s="398" t="e">
        <f>O103-#REF!</f>
        <v>#REF!</v>
      </c>
      <c r="S103" s="500"/>
    </row>
    <row r="104" spans="1:19" s="267" customFormat="1" ht="13">
      <c r="A104" s="420" t="s">
        <v>190</v>
      </c>
      <c r="B104" s="367">
        <v>0</v>
      </c>
      <c r="C104" s="278">
        <v>0</v>
      </c>
      <c r="D104" s="278">
        <v>0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K104" s="677">
        <v>0</v>
      </c>
      <c r="L104" s="278">
        <v>0</v>
      </c>
      <c r="M104" s="654">
        <v>0</v>
      </c>
      <c r="N104" s="468">
        <f t="shared" si="22"/>
        <v>0</v>
      </c>
      <c r="O104" s="397">
        <v>2000</v>
      </c>
      <c r="P104" s="271"/>
      <c r="Q104" s="274"/>
      <c r="R104" s="398" t="e">
        <f>O104-#REF!</f>
        <v>#REF!</v>
      </c>
      <c r="S104" s="500"/>
    </row>
    <row r="105" spans="1:19" s="267" customFormat="1" ht="13">
      <c r="A105" s="426" t="s">
        <v>191</v>
      </c>
      <c r="B105" s="367">
        <v>0</v>
      </c>
      <c r="C105" s="278">
        <v>0</v>
      </c>
      <c r="D105" s="278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677">
        <v>0</v>
      </c>
      <c r="L105" s="278">
        <v>0</v>
      </c>
      <c r="M105" s="654">
        <v>0</v>
      </c>
      <c r="N105" s="468">
        <f t="shared" si="22"/>
        <v>0</v>
      </c>
      <c r="O105" s="397">
        <v>1000</v>
      </c>
      <c r="P105" s="271"/>
      <c r="Q105" s="274"/>
      <c r="R105" s="398" t="e">
        <f>O105-#REF!</f>
        <v>#REF!</v>
      </c>
      <c r="S105" s="500"/>
    </row>
    <row r="106" spans="1:19" s="267" customFormat="1" ht="13">
      <c r="A106" s="577" t="s">
        <v>192</v>
      </c>
      <c r="B106" s="367">
        <v>200</v>
      </c>
      <c r="C106" s="278">
        <v>200</v>
      </c>
      <c r="D106" s="278">
        <v>200</v>
      </c>
      <c r="E106" s="278">
        <v>200</v>
      </c>
      <c r="F106" s="278">
        <v>200</v>
      </c>
      <c r="G106" s="278">
        <v>200</v>
      </c>
      <c r="H106" s="278">
        <v>200</v>
      </c>
      <c r="I106" s="278">
        <v>200</v>
      </c>
      <c r="J106" s="278">
        <v>200</v>
      </c>
      <c r="K106" s="278">
        <v>200</v>
      </c>
      <c r="L106" s="278">
        <v>200</v>
      </c>
      <c r="M106" s="654">
        <v>200</v>
      </c>
      <c r="N106" s="468">
        <f>SUM(B106:M106)</f>
        <v>2400</v>
      </c>
      <c r="O106" s="397">
        <v>2400</v>
      </c>
      <c r="P106" s="271"/>
      <c r="Q106" s="274"/>
      <c r="R106" s="398" t="e">
        <f>O106-#REF!</f>
        <v>#REF!</v>
      </c>
      <c r="S106" s="500"/>
    </row>
    <row r="107" spans="1:19" s="267" customFormat="1" ht="13">
      <c r="A107" s="577" t="s">
        <v>193</v>
      </c>
      <c r="B107" s="676">
        <v>0</v>
      </c>
      <c r="C107" s="677">
        <v>0</v>
      </c>
      <c r="D107" s="677">
        <v>0</v>
      </c>
      <c r="E107" s="677">
        <v>0</v>
      </c>
      <c r="F107" s="677">
        <v>0</v>
      </c>
      <c r="G107" s="677">
        <v>0</v>
      </c>
      <c r="H107" s="677">
        <v>0</v>
      </c>
      <c r="I107" s="677">
        <v>0</v>
      </c>
      <c r="J107" s="677">
        <v>0</v>
      </c>
      <c r="K107" s="677">
        <v>0</v>
      </c>
      <c r="L107" s="677">
        <v>0</v>
      </c>
      <c r="M107" s="696">
        <v>0</v>
      </c>
      <c r="N107" s="468">
        <f t="shared" si="22"/>
        <v>0</v>
      </c>
      <c r="O107" s="397">
        <v>22000</v>
      </c>
      <c r="P107" s="278"/>
      <c r="Q107" s="286"/>
      <c r="R107" s="398" t="e">
        <f>O107-#REF!</f>
        <v>#REF!</v>
      </c>
      <c r="S107" s="500"/>
    </row>
    <row r="108" spans="1:19" s="267" customFormat="1" ht="13">
      <c r="A108" s="577" t="s">
        <v>194</v>
      </c>
      <c r="B108" s="676">
        <v>0</v>
      </c>
      <c r="C108" s="677">
        <v>0</v>
      </c>
      <c r="D108" s="677">
        <v>0</v>
      </c>
      <c r="E108" s="677">
        <v>0</v>
      </c>
      <c r="F108" s="677">
        <v>0</v>
      </c>
      <c r="G108" s="677">
        <v>0</v>
      </c>
      <c r="H108" s="677">
        <v>0</v>
      </c>
      <c r="I108" s="677">
        <v>0</v>
      </c>
      <c r="J108" s="677">
        <v>0</v>
      </c>
      <c r="K108" s="677">
        <v>0</v>
      </c>
      <c r="L108" s="677">
        <v>0</v>
      </c>
      <c r="M108" s="696">
        <v>0</v>
      </c>
      <c r="N108" s="468">
        <f>SUM(B108:M108)</f>
        <v>0</v>
      </c>
      <c r="O108" s="397">
        <v>35000</v>
      </c>
      <c r="P108" s="278"/>
      <c r="Q108" s="286"/>
      <c r="R108" s="398" t="e">
        <f>O108-#REF!</f>
        <v>#REF!</v>
      </c>
      <c r="S108" s="500"/>
    </row>
    <row r="109" spans="1:19" s="267" customFormat="1" ht="13">
      <c r="A109" s="419" t="s">
        <v>92</v>
      </c>
      <c r="B109" s="469">
        <f t="shared" ref="B109:M109" si="23">SUM(B94:B108)</f>
        <v>3800</v>
      </c>
      <c r="C109" s="272">
        <f t="shared" si="23"/>
        <v>2800</v>
      </c>
      <c r="D109" s="469">
        <f t="shared" si="23"/>
        <v>2800</v>
      </c>
      <c r="E109" s="469">
        <f t="shared" si="23"/>
        <v>2800</v>
      </c>
      <c r="F109" s="469">
        <f t="shared" si="23"/>
        <v>2800</v>
      </c>
      <c r="G109" s="469">
        <f t="shared" si="23"/>
        <v>1700</v>
      </c>
      <c r="H109" s="469">
        <f t="shared" si="23"/>
        <v>700</v>
      </c>
      <c r="I109" s="469">
        <f t="shared" si="23"/>
        <v>700</v>
      </c>
      <c r="J109" s="469">
        <f t="shared" si="23"/>
        <v>700</v>
      </c>
      <c r="K109" s="469">
        <f t="shared" si="23"/>
        <v>700</v>
      </c>
      <c r="L109" s="469">
        <f t="shared" si="23"/>
        <v>700</v>
      </c>
      <c r="M109" s="660">
        <f t="shared" si="23"/>
        <v>1700</v>
      </c>
      <c r="N109" s="641">
        <f>SUM(B109:M109)</f>
        <v>21900</v>
      </c>
      <c r="O109" s="440">
        <f>SUM(O92:O108)</f>
        <v>113500</v>
      </c>
      <c r="P109" s="276">
        <v>80414.87</v>
      </c>
      <c r="Q109" s="276">
        <f>N109-P109</f>
        <v>-58514.869999999995</v>
      </c>
      <c r="R109" s="398" t="e">
        <f>O109-#REF!</f>
        <v>#REF!</v>
      </c>
      <c r="S109" s="500"/>
    </row>
    <row r="110" spans="1:19" s="267" customFormat="1" ht="13" customHeight="1">
      <c r="A110" s="419"/>
      <c r="B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656"/>
      <c r="N110" s="468"/>
      <c r="O110" s="397"/>
      <c r="P110" s="133"/>
      <c r="Q110" s="133"/>
      <c r="R110" s="398" t="e">
        <f>O110-#REF!</f>
        <v>#REF!</v>
      </c>
      <c r="S110" s="500"/>
    </row>
    <row r="111" spans="1:19" s="267" customFormat="1" ht="14" customHeight="1">
      <c r="A111" s="419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656"/>
      <c r="N111" s="468"/>
      <c r="O111" s="397"/>
      <c r="P111" s="133"/>
      <c r="Q111" s="133"/>
      <c r="R111" s="398" t="e">
        <f>O111-#REF!</f>
        <v>#REF!</v>
      </c>
      <c r="S111" s="500"/>
    </row>
    <row r="112" spans="1:19" s="267" customFormat="1" ht="13">
      <c r="A112" s="419" t="s">
        <v>195</v>
      </c>
      <c r="B112" s="278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654"/>
      <c r="N112" s="468"/>
      <c r="O112" s="397"/>
      <c r="P112" s="133"/>
      <c r="Q112" s="133"/>
      <c r="R112" s="398" t="e">
        <f>O112-#REF!</f>
        <v>#REF!</v>
      </c>
      <c r="S112" s="500"/>
    </row>
    <row r="113" spans="1:19" s="267" customFormat="1" ht="13">
      <c r="A113" s="420" t="s">
        <v>196</v>
      </c>
      <c r="B113" s="278">
        <v>0</v>
      </c>
      <c r="C113" s="271">
        <v>0</v>
      </c>
      <c r="D113" s="271">
        <v>0</v>
      </c>
      <c r="E113" s="271">
        <v>0</v>
      </c>
      <c r="F113" s="271">
        <v>0</v>
      </c>
      <c r="G113" s="271">
        <v>0</v>
      </c>
      <c r="H113" s="271">
        <v>0</v>
      </c>
      <c r="I113" s="271">
        <v>0</v>
      </c>
      <c r="J113" s="271">
        <v>0</v>
      </c>
      <c r="K113" s="271">
        <v>0</v>
      </c>
      <c r="L113" s="271">
        <v>0</v>
      </c>
      <c r="M113" s="654">
        <v>0</v>
      </c>
      <c r="N113" s="468">
        <f>SUM(B113:M113)</f>
        <v>0</v>
      </c>
      <c r="O113" s="397">
        <v>0</v>
      </c>
      <c r="P113" s="271">
        <v>11031.75</v>
      </c>
      <c r="Q113" s="274">
        <f>N113-P113</f>
        <v>-11031.75</v>
      </c>
      <c r="R113" s="398" t="e">
        <f>O113-#REF!</f>
        <v>#REF!</v>
      </c>
      <c r="S113" s="500"/>
    </row>
    <row r="114" spans="1:19" s="267" customFormat="1" ht="13">
      <c r="A114" s="419" t="s">
        <v>223</v>
      </c>
      <c r="B114" s="639">
        <f t="shared" ref="B114:M114" si="24">SUM(B113:B113)</f>
        <v>0</v>
      </c>
      <c r="C114" s="469">
        <f t="shared" si="24"/>
        <v>0</v>
      </c>
      <c r="D114" s="469">
        <f t="shared" si="24"/>
        <v>0</v>
      </c>
      <c r="E114" s="469">
        <f t="shared" si="24"/>
        <v>0</v>
      </c>
      <c r="F114" s="469">
        <f t="shared" si="24"/>
        <v>0</v>
      </c>
      <c r="G114" s="469">
        <f t="shared" si="24"/>
        <v>0</v>
      </c>
      <c r="H114" s="469">
        <f t="shared" si="24"/>
        <v>0</v>
      </c>
      <c r="I114" s="469">
        <f t="shared" si="24"/>
        <v>0</v>
      </c>
      <c r="J114" s="469">
        <f t="shared" si="24"/>
        <v>0</v>
      </c>
      <c r="K114" s="469">
        <f t="shared" si="24"/>
        <v>0</v>
      </c>
      <c r="L114" s="469">
        <f t="shared" si="24"/>
        <v>0</v>
      </c>
      <c r="M114" s="660">
        <f t="shared" si="24"/>
        <v>0</v>
      </c>
      <c r="N114" s="467">
        <f>SUM(B114:M114)</f>
        <v>0</v>
      </c>
      <c r="O114" s="399">
        <v>0</v>
      </c>
      <c r="P114" s="469">
        <v>18072.3</v>
      </c>
      <c r="Q114" s="469">
        <f>N114-P114</f>
        <v>-18072.3</v>
      </c>
      <c r="R114" s="398" t="e">
        <f>O114-#REF!</f>
        <v>#REF!</v>
      </c>
      <c r="S114" s="500"/>
    </row>
    <row r="115" spans="1:19" s="267" customFormat="1" ht="6" customHeight="1">
      <c r="A115" s="419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656"/>
      <c r="N115" s="468"/>
      <c r="O115" s="397"/>
      <c r="P115" s="133"/>
      <c r="Q115" s="133"/>
      <c r="R115" s="398" t="e">
        <f>O115-#REF!</f>
        <v>#REF!</v>
      </c>
      <c r="S115" s="500"/>
    </row>
    <row r="116" spans="1:19" s="267" customFormat="1" ht="14.5" customHeight="1">
      <c r="A116" s="419" t="s">
        <v>198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656"/>
      <c r="N116" s="468"/>
      <c r="O116" s="397"/>
      <c r="P116" s="133"/>
      <c r="Q116" s="133"/>
      <c r="R116" s="398" t="e">
        <f>O116-#REF!</f>
        <v>#REF!</v>
      </c>
      <c r="S116" s="500"/>
    </row>
    <row r="117" spans="1:19" s="267" customFormat="1" ht="13">
      <c r="A117" s="420" t="s">
        <v>199</v>
      </c>
      <c r="B117" s="278">
        <v>18000</v>
      </c>
      <c r="C117" s="278">
        <v>18000</v>
      </c>
      <c r="D117" s="278">
        <v>18000</v>
      </c>
      <c r="E117" s="278">
        <v>18000</v>
      </c>
      <c r="F117" s="278">
        <v>18000</v>
      </c>
      <c r="G117" s="278">
        <v>18000</v>
      </c>
      <c r="H117" s="278">
        <v>18000</v>
      </c>
      <c r="I117" s="278">
        <v>18000</v>
      </c>
      <c r="J117" s="278">
        <v>18000</v>
      </c>
      <c r="K117" s="278">
        <v>18000</v>
      </c>
      <c r="L117" s="278">
        <v>18000</v>
      </c>
      <c r="M117" s="654">
        <v>18000</v>
      </c>
      <c r="N117" s="468">
        <f>SUM(B117:M117)</f>
        <v>216000</v>
      </c>
      <c r="O117" s="397">
        <v>216000</v>
      </c>
      <c r="P117" s="271">
        <v>376153.68000000011</v>
      </c>
      <c r="Q117" s="274">
        <f>N117-P117</f>
        <v>-160153.68000000011</v>
      </c>
      <c r="R117" s="398" t="e">
        <f>O117-#REF!</f>
        <v>#REF!</v>
      </c>
      <c r="S117" s="500"/>
    </row>
    <row r="118" spans="1:19" s="267" customFormat="1" ht="13">
      <c r="A118" s="420" t="s">
        <v>200</v>
      </c>
      <c r="B118" s="278">
        <v>0</v>
      </c>
      <c r="C118" s="278">
        <v>0</v>
      </c>
      <c r="D118" s="278">
        <v>0</v>
      </c>
      <c r="E118" s="278">
        <v>0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  <c r="L118" s="278">
        <v>0</v>
      </c>
      <c r="M118" s="654">
        <v>0</v>
      </c>
      <c r="N118" s="468">
        <f>SUM(B118:M118)</f>
        <v>0</v>
      </c>
      <c r="O118" s="397"/>
      <c r="P118" s="271">
        <v>46507.833333333336</v>
      </c>
      <c r="Q118" s="274">
        <f>N118-P118</f>
        <v>-46507.833333333336</v>
      </c>
      <c r="R118" s="398" t="e">
        <f>O118-#REF!</f>
        <v>#REF!</v>
      </c>
      <c r="S118" s="507"/>
    </row>
    <row r="119" spans="1:19" s="527" customFormat="1" ht="26">
      <c r="A119" s="519" t="s">
        <v>201</v>
      </c>
      <c r="B119" s="520">
        <v>10000</v>
      </c>
      <c r="C119" s="520">
        <v>10000</v>
      </c>
      <c r="D119" s="520">
        <v>10000</v>
      </c>
      <c r="E119" s="520">
        <v>10000</v>
      </c>
      <c r="F119" s="520">
        <v>10000</v>
      </c>
      <c r="G119" s="520">
        <v>10000</v>
      </c>
      <c r="H119" s="520">
        <v>12500</v>
      </c>
      <c r="I119" s="520">
        <v>12500</v>
      </c>
      <c r="J119" s="520">
        <v>12500</v>
      </c>
      <c r="K119" s="520">
        <v>12500</v>
      </c>
      <c r="L119" s="520">
        <v>12500</v>
      </c>
      <c r="M119" s="658">
        <v>12500</v>
      </c>
      <c r="N119" s="673">
        <f>SUM(B119:M119)</f>
        <v>135000</v>
      </c>
      <c r="O119" s="542">
        <v>135000</v>
      </c>
      <c r="P119" s="521"/>
      <c r="Q119" s="543"/>
      <c r="R119" s="706" t="e">
        <f>O119-#REF!</f>
        <v>#REF!</v>
      </c>
      <c r="S119" s="526" t="s">
        <v>256</v>
      </c>
    </row>
    <row r="120" spans="1:19" s="527" customFormat="1" ht="13">
      <c r="A120" s="519" t="s">
        <v>202</v>
      </c>
      <c r="B120" s="520">
        <v>6500</v>
      </c>
      <c r="C120" s="520">
        <v>6500</v>
      </c>
      <c r="D120" s="520">
        <v>6500</v>
      </c>
      <c r="E120" s="520">
        <v>6500</v>
      </c>
      <c r="F120" s="520">
        <v>6500</v>
      </c>
      <c r="G120" s="520">
        <v>6500</v>
      </c>
      <c r="H120" s="520">
        <v>6500</v>
      </c>
      <c r="I120" s="520">
        <v>6500</v>
      </c>
      <c r="J120" s="520">
        <v>6500</v>
      </c>
      <c r="K120" s="520">
        <v>6500</v>
      </c>
      <c r="L120" s="520">
        <v>6500</v>
      </c>
      <c r="M120" s="658">
        <v>6500</v>
      </c>
      <c r="N120" s="673">
        <f t="shared" ref="N120:N129" si="25">SUM(B120:M120)</f>
        <v>78000</v>
      </c>
      <c r="O120" s="542">
        <v>60000</v>
      </c>
      <c r="P120" s="521"/>
      <c r="Q120" s="543"/>
      <c r="R120" s="706" t="e">
        <f>O120-#REF!</f>
        <v>#REF!</v>
      </c>
      <c r="S120" s="526"/>
    </row>
    <row r="121" spans="1:19" s="527" customFormat="1" ht="13">
      <c r="A121" s="519" t="s">
        <v>203</v>
      </c>
      <c r="B121" s="520">
        <v>1700</v>
      </c>
      <c r="C121" s="520">
        <v>1700</v>
      </c>
      <c r="D121" s="520">
        <v>1700</v>
      </c>
      <c r="E121" s="520">
        <v>1700</v>
      </c>
      <c r="F121" s="520">
        <v>1700</v>
      </c>
      <c r="G121" s="520">
        <v>1700</v>
      </c>
      <c r="H121" s="520">
        <v>1700</v>
      </c>
      <c r="I121" s="520">
        <v>1700</v>
      </c>
      <c r="J121" s="520">
        <v>1700</v>
      </c>
      <c r="K121" s="520">
        <v>1700</v>
      </c>
      <c r="L121" s="520">
        <v>1700</v>
      </c>
      <c r="M121" s="658">
        <v>1700</v>
      </c>
      <c r="N121" s="673">
        <f>SUM(B121:M121)</f>
        <v>20400</v>
      </c>
      <c r="O121" s="542">
        <v>20400</v>
      </c>
      <c r="P121" s="521"/>
      <c r="Q121" s="543"/>
      <c r="R121" s="525" t="e">
        <f>O121-#REF!</f>
        <v>#REF!</v>
      </c>
      <c r="S121" s="526"/>
    </row>
    <row r="122" spans="1:19" s="527" customFormat="1" ht="13">
      <c r="A122" s="519" t="s">
        <v>204</v>
      </c>
      <c r="B122" s="520">
        <v>2000</v>
      </c>
      <c r="C122" s="520">
        <v>2000</v>
      </c>
      <c r="D122" s="520">
        <v>2000</v>
      </c>
      <c r="E122" s="520">
        <v>2000</v>
      </c>
      <c r="F122" s="520">
        <v>2000</v>
      </c>
      <c r="G122" s="520">
        <v>2000</v>
      </c>
      <c r="H122" s="520">
        <v>2000</v>
      </c>
      <c r="I122" s="520">
        <v>2000</v>
      </c>
      <c r="J122" s="520">
        <v>2000</v>
      </c>
      <c r="K122" s="520">
        <v>2000</v>
      </c>
      <c r="L122" s="520">
        <v>2000</v>
      </c>
      <c r="M122" s="658">
        <v>2000</v>
      </c>
      <c r="N122" s="673">
        <f t="shared" si="25"/>
        <v>24000</v>
      </c>
      <c r="O122" s="542">
        <v>30000</v>
      </c>
      <c r="P122" s="521"/>
      <c r="Q122" s="543"/>
      <c r="R122" s="525" t="e">
        <f>O122-#REF!</f>
        <v>#REF!</v>
      </c>
      <c r="S122" s="526"/>
    </row>
    <row r="123" spans="1:19" s="527" customFormat="1" ht="13">
      <c r="A123" s="519" t="s">
        <v>205</v>
      </c>
      <c r="B123" s="520">
        <v>500</v>
      </c>
      <c r="C123" s="520">
        <v>500</v>
      </c>
      <c r="D123" s="520">
        <v>500</v>
      </c>
      <c r="E123" s="520">
        <v>500</v>
      </c>
      <c r="F123" s="520">
        <v>500</v>
      </c>
      <c r="G123" s="520">
        <v>500</v>
      </c>
      <c r="H123" s="520">
        <v>500</v>
      </c>
      <c r="I123" s="520">
        <v>500</v>
      </c>
      <c r="J123" s="520">
        <v>500</v>
      </c>
      <c r="K123" s="520">
        <v>500</v>
      </c>
      <c r="L123" s="520">
        <v>500</v>
      </c>
      <c r="M123" s="658">
        <v>500</v>
      </c>
      <c r="N123" s="673">
        <f t="shared" si="25"/>
        <v>6000</v>
      </c>
      <c r="O123" s="542">
        <v>6000</v>
      </c>
      <c r="P123" s="521"/>
      <c r="Q123" s="543"/>
      <c r="R123" s="525" t="e">
        <f>O123-#REF!</f>
        <v>#REF!</v>
      </c>
      <c r="S123" s="526"/>
    </row>
    <row r="124" spans="1:19" s="527" customFormat="1" ht="13">
      <c r="A124" s="519" t="s">
        <v>257</v>
      </c>
      <c r="B124" s="520">
        <v>0</v>
      </c>
      <c r="C124" s="520">
        <v>0</v>
      </c>
      <c r="D124" s="520">
        <v>0</v>
      </c>
      <c r="E124" s="520">
        <v>0</v>
      </c>
      <c r="F124" s="520">
        <v>0</v>
      </c>
      <c r="G124" s="520">
        <v>0</v>
      </c>
      <c r="H124" s="520">
        <v>0</v>
      </c>
      <c r="I124" s="520">
        <v>0</v>
      </c>
      <c r="J124" s="520">
        <v>0</v>
      </c>
      <c r="K124" s="520">
        <v>0</v>
      </c>
      <c r="L124" s="520">
        <v>0</v>
      </c>
      <c r="M124" s="658">
        <v>0</v>
      </c>
      <c r="N124" s="673">
        <f t="shared" si="25"/>
        <v>0</v>
      </c>
      <c r="O124" s="542">
        <v>24000</v>
      </c>
      <c r="P124" s="521"/>
      <c r="Q124" s="543"/>
      <c r="R124" s="525" t="e">
        <f>O124-#REF!</f>
        <v>#REF!</v>
      </c>
      <c r="S124" s="526"/>
    </row>
    <row r="125" spans="1:19" s="527" customFormat="1" ht="13">
      <c r="A125" s="519" t="s">
        <v>207</v>
      </c>
      <c r="B125" s="520">
        <v>2000</v>
      </c>
      <c r="C125" s="520">
        <v>2000</v>
      </c>
      <c r="D125" s="520">
        <v>2000</v>
      </c>
      <c r="E125" s="520">
        <v>2000</v>
      </c>
      <c r="F125" s="520">
        <v>2000</v>
      </c>
      <c r="G125" s="520">
        <v>2000</v>
      </c>
      <c r="H125" s="520">
        <v>2000</v>
      </c>
      <c r="I125" s="520">
        <v>2000</v>
      </c>
      <c r="J125" s="520">
        <v>2000</v>
      </c>
      <c r="K125" s="520">
        <v>2000</v>
      </c>
      <c r="L125" s="520">
        <v>2000</v>
      </c>
      <c r="M125" s="658">
        <v>2000</v>
      </c>
      <c r="N125" s="673">
        <f>SUM(B125:M125)</f>
        <v>24000</v>
      </c>
      <c r="O125" s="542">
        <v>24000</v>
      </c>
      <c r="P125" s="521"/>
      <c r="Q125" s="543"/>
      <c r="R125" s="525" t="e">
        <f>O125-#REF!</f>
        <v>#REF!</v>
      </c>
      <c r="S125" s="526"/>
    </row>
    <row r="126" spans="1:19" s="527" customFormat="1" ht="13">
      <c r="A126" s="519" t="s">
        <v>258</v>
      </c>
      <c r="B126" s="520">
        <v>1000</v>
      </c>
      <c r="C126" s="520">
        <v>1000</v>
      </c>
      <c r="D126" s="520">
        <v>1000</v>
      </c>
      <c r="E126" s="520">
        <v>1000</v>
      </c>
      <c r="F126" s="520">
        <v>1000</v>
      </c>
      <c r="G126" s="520">
        <v>1000</v>
      </c>
      <c r="H126" s="520">
        <v>2000</v>
      </c>
      <c r="I126" s="520">
        <v>2000</v>
      </c>
      <c r="J126" s="520">
        <v>2000</v>
      </c>
      <c r="K126" s="520">
        <v>2000</v>
      </c>
      <c r="L126" s="520">
        <v>2000</v>
      </c>
      <c r="M126" s="658">
        <v>2000</v>
      </c>
      <c r="N126" s="673">
        <f>SUM(B126:M126)</f>
        <v>18000</v>
      </c>
      <c r="O126" s="542">
        <v>12000</v>
      </c>
      <c r="P126" s="521"/>
      <c r="Q126" s="543"/>
      <c r="R126" s="525" t="e">
        <f>O126-#REF!</f>
        <v>#REF!</v>
      </c>
      <c r="S126" s="526"/>
    </row>
    <row r="127" spans="1:19" s="527" customFormat="1" ht="26">
      <c r="A127" s="519" t="s">
        <v>209</v>
      </c>
      <c r="B127" s="520">
        <v>0</v>
      </c>
      <c r="C127" s="520">
        <v>0</v>
      </c>
      <c r="D127" s="520">
        <v>0</v>
      </c>
      <c r="E127" s="520">
        <v>0</v>
      </c>
      <c r="F127" s="520">
        <v>0</v>
      </c>
      <c r="G127" s="520">
        <v>0</v>
      </c>
      <c r="H127" s="520">
        <v>0</v>
      </c>
      <c r="I127" s="520">
        <v>0</v>
      </c>
      <c r="J127" s="520">
        <v>0</v>
      </c>
      <c r="K127" s="520">
        <v>0</v>
      </c>
      <c r="L127" s="520">
        <v>0</v>
      </c>
      <c r="M127" s="658">
        <v>0</v>
      </c>
      <c r="N127" s="673">
        <f>SUM(B127:M127)</f>
        <v>0</v>
      </c>
      <c r="O127" s="542">
        <v>18000</v>
      </c>
      <c r="P127" s="521"/>
      <c r="Q127" s="543"/>
      <c r="R127" s="525" t="e">
        <f>O127-#REF!</f>
        <v>#REF!</v>
      </c>
      <c r="S127" s="526" t="s">
        <v>259</v>
      </c>
    </row>
    <row r="128" spans="1:19" s="267" customFormat="1" ht="13">
      <c r="A128" s="420" t="s">
        <v>210</v>
      </c>
      <c r="B128" s="278">
        <v>0</v>
      </c>
      <c r="C128" s="271">
        <v>0</v>
      </c>
      <c r="D128" s="271">
        <v>0</v>
      </c>
      <c r="E128" s="271">
        <v>0</v>
      </c>
      <c r="F128" s="271">
        <v>0</v>
      </c>
      <c r="G128" s="271">
        <v>0</v>
      </c>
      <c r="H128" s="271">
        <v>0</v>
      </c>
      <c r="I128" s="271">
        <v>0</v>
      </c>
      <c r="J128" s="271">
        <f>'Payroll Worksheet'!AH23</f>
        <v>0</v>
      </c>
      <c r="K128" s="271">
        <f>'Payroll Worksheet'!AI23</f>
        <v>0</v>
      </c>
      <c r="L128" s="271">
        <f>'Payroll Worksheet'!AJ23</f>
        <v>0</v>
      </c>
      <c r="M128" s="654">
        <f>'Payroll Worksheet'!AK23</f>
        <v>0</v>
      </c>
      <c r="N128" s="467">
        <f t="shared" si="25"/>
        <v>0</v>
      </c>
      <c r="O128" s="406">
        <v>0</v>
      </c>
      <c r="P128" s="271">
        <v>891.46</v>
      </c>
      <c r="Q128" s="274">
        <f>N128-P128</f>
        <v>-891.46</v>
      </c>
      <c r="R128" s="398" t="e">
        <f>O128-#REF!</f>
        <v>#REF!</v>
      </c>
      <c r="S128" s="500"/>
    </row>
    <row r="129" spans="1:40" s="267" customFormat="1" ht="13">
      <c r="A129" s="420" t="s">
        <v>211</v>
      </c>
      <c r="B129" s="278">
        <v>0</v>
      </c>
      <c r="C129" s="271">
        <v>0</v>
      </c>
      <c r="D129" s="271">
        <v>0</v>
      </c>
      <c r="E129" s="271">
        <v>0</v>
      </c>
      <c r="F129" s="271">
        <v>0</v>
      </c>
      <c r="G129" s="271" t="s">
        <v>260</v>
      </c>
      <c r="H129" s="271">
        <v>0</v>
      </c>
      <c r="I129" s="271">
        <v>0</v>
      </c>
      <c r="J129" s="271">
        <f>'Payroll Worksheet'!AH21</f>
        <v>0</v>
      </c>
      <c r="K129" s="271">
        <f>'Payroll Worksheet'!AI21</f>
        <v>0</v>
      </c>
      <c r="L129" s="271">
        <f>'Payroll Worksheet'!AJ21</f>
        <v>0</v>
      </c>
      <c r="M129" s="654">
        <f>'Payroll Worksheet'!AK21</f>
        <v>0</v>
      </c>
      <c r="N129" s="467">
        <f t="shared" si="25"/>
        <v>0</v>
      </c>
      <c r="O129" s="406">
        <v>0</v>
      </c>
      <c r="P129" s="271">
        <v>11652.939999999999</v>
      </c>
      <c r="Q129" s="274">
        <f>N129-P129</f>
        <v>-11652.939999999999</v>
      </c>
      <c r="R129" s="398" t="e">
        <f>O129-#REF!</f>
        <v>#REF!</v>
      </c>
      <c r="S129" s="500"/>
    </row>
    <row r="130" spans="1:40" s="267" customFormat="1" ht="13">
      <c r="A130" s="420" t="s">
        <v>213</v>
      </c>
      <c r="B130" s="278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654"/>
      <c r="N130" s="467"/>
      <c r="O130" s="406"/>
      <c r="P130" s="271"/>
      <c r="Q130" s="274"/>
      <c r="R130" s="398" t="e">
        <f>O130-#REF!</f>
        <v>#REF!</v>
      </c>
      <c r="S130" s="500"/>
    </row>
    <row r="131" spans="1:40" s="267" customFormat="1" ht="13">
      <c r="A131" s="419" t="s">
        <v>214</v>
      </c>
      <c r="B131" s="469">
        <f t="shared" ref="B131:M131" si="26">SUM(B117:B130)</f>
        <v>41700</v>
      </c>
      <c r="C131" s="469">
        <f t="shared" si="26"/>
        <v>41700</v>
      </c>
      <c r="D131" s="469">
        <f t="shared" si="26"/>
        <v>41700</v>
      </c>
      <c r="E131" s="469">
        <f t="shared" si="26"/>
        <v>41700</v>
      </c>
      <c r="F131" s="469">
        <f t="shared" si="26"/>
        <v>41700</v>
      </c>
      <c r="G131" s="469">
        <f t="shared" si="26"/>
        <v>41700</v>
      </c>
      <c r="H131" s="469">
        <f t="shared" si="26"/>
        <v>45200</v>
      </c>
      <c r="I131" s="469">
        <f t="shared" si="26"/>
        <v>45200</v>
      </c>
      <c r="J131" s="469">
        <f t="shared" si="26"/>
        <v>45200</v>
      </c>
      <c r="K131" s="469">
        <f t="shared" si="26"/>
        <v>45200</v>
      </c>
      <c r="L131" s="469">
        <f t="shared" si="26"/>
        <v>45200</v>
      </c>
      <c r="M131" s="660">
        <f t="shared" si="26"/>
        <v>45200</v>
      </c>
      <c r="N131" s="467">
        <f>SUM(B131:M131)</f>
        <v>521400</v>
      </c>
      <c r="O131" s="406">
        <f>SUM(O117:O130)</f>
        <v>545400</v>
      </c>
      <c r="P131" s="276">
        <v>435205.91333333345</v>
      </c>
      <c r="Q131" s="276">
        <f>N131-P131</f>
        <v>86194.086666666553</v>
      </c>
      <c r="R131" s="398" t="e">
        <f>O131-#REF!</f>
        <v>#REF!</v>
      </c>
      <c r="S131" s="507"/>
    </row>
    <row r="132" spans="1:40" s="267" customFormat="1" ht="6" customHeight="1" thickBot="1">
      <c r="A132" s="419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56"/>
      <c r="N132" s="468"/>
      <c r="O132" s="397"/>
      <c r="P132" s="133"/>
      <c r="Q132" s="133"/>
      <c r="R132" s="398" t="e">
        <f>O132-#REF!</f>
        <v>#REF!</v>
      </c>
      <c r="S132" s="500"/>
    </row>
    <row r="133" spans="1:40" s="458" customFormat="1" ht="14" thickTop="1">
      <c r="A133" s="445" t="s">
        <v>107</v>
      </c>
      <c r="B133" s="453">
        <f t="shared" ref="B133:M133" si="27">B60+B76+B86+B109+B114+B131</f>
        <v>65460</v>
      </c>
      <c r="C133" s="446">
        <f t="shared" si="27"/>
        <v>55960</v>
      </c>
      <c r="D133" s="446">
        <f t="shared" si="27"/>
        <v>66710</v>
      </c>
      <c r="E133" s="446">
        <f t="shared" si="27"/>
        <v>64460</v>
      </c>
      <c r="F133" s="446">
        <f t="shared" si="27"/>
        <v>59460</v>
      </c>
      <c r="G133" s="446">
        <f t="shared" si="27"/>
        <v>51610</v>
      </c>
      <c r="H133" s="446">
        <f t="shared" si="27"/>
        <v>98260</v>
      </c>
      <c r="I133" s="446">
        <f t="shared" si="27"/>
        <v>72160</v>
      </c>
      <c r="J133" s="446">
        <f t="shared" si="27"/>
        <v>108110</v>
      </c>
      <c r="K133" s="446">
        <f t="shared" si="27"/>
        <v>109660</v>
      </c>
      <c r="L133" s="446">
        <f t="shared" si="27"/>
        <v>62860</v>
      </c>
      <c r="M133" s="659">
        <f t="shared" si="27"/>
        <v>70110</v>
      </c>
      <c r="N133" s="647">
        <f>SUM(B133:M133)</f>
        <v>884820</v>
      </c>
      <c r="O133" s="455">
        <f>O60+O76+O86+O109+O114+O131</f>
        <v>1130600</v>
      </c>
      <c r="P133" s="453">
        <v>791196.94333333336</v>
      </c>
      <c r="Q133" s="456">
        <f>N133-P133</f>
        <v>93623.056666666642</v>
      </c>
      <c r="R133" s="398" t="e">
        <f>O133-#REF!</f>
        <v>#REF!</v>
      </c>
      <c r="S133" s="508"/>
    </row>
    <row r="134" spans="1:40" s="368" customFormat="1" ht="13" thickBot="1">
      <c r="A134" s="419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662"/>
      <c r="N134" s="468"/>
      <c r="O134" s="397"/>
      <c r="P134" s="285"/>
      <c r="Q134" s="285"/>
      <c r="R134" s="398" t="e">
        <f>O134-#REF!</f>
        <v>#REF!</v>
      </c>
      <c r="S134" s="502"/>
    </row>
    <row r="135" spans="1:40" s="466" customFormat="1" ht="14" thickBot="1">
      <c r="A135" s="459" t="s">
        <v>108</v>
      </c>
      <c r="B135" s="460">
        <f t="shared" ref="B135:O135" si="28">B48-B133</f>
        <v>-37070</v>
      </c>
      <c r="C135" s="460" t="e">
        <f t="shared" si="28"/>
        <v>#REF!</v>
      </c>
      <c r="D135" s="460" t="e">
        <f t="shared" si="28"/>
        <v>#REF!</v>
      </c>
      <c r="E135" s="460" t="e">
        <f t="shared" si="28"/>
        <v>#REF!</v>
      </c>
      <c r="F135" s="460" t="e">
        <f t="shared" si="28"/>
        <v>#REF!</v>
      </c>
      <c r="G135" s="460" t="e">
        <f t="shared" si="28"/>
        <v>#REF!</v>
      </c>
      <c r="H135" s="460" t="e">
        <f t="shared" si="28"/>
        <v>#REF!</v>
      </c>
      <c r="I135" s="460" t="e">
        <f t="shared" si="28"/>
        <v>#REF!</v>
      </c>
      <c r="J135" s="460" t="e">
        <f t="shared" si="28"/>
        <v>#REF!</v>
      </c>
      <c r="K135" s="460" t="e">
        <f t="shared" si="28"/>
        <v>#REF!</v>
      </c>
      <c r="L135" s="460" t="e">
        <f t="shared" si="28"/>
        <v>#REF!</v>
      </c>
      <c r="M135" s="663" t="e">
        <f t="shared" si="28"/>
        <v>#REF!</v>
      </c>
      <c r="N135" s="648" t="e">
        <f t="shared" si="28"/>
        <v>#REF!</v>
      </c>
      <c r="O135" s="463">
        <f t="shared" si="28"/>
        <v>-99400</v>
      </c>
      <c r="P135" s="460">
        <v>388579.43666666653</v>
      </c>
      <c r="Q135" s="464"/>
      <c r="R135" s="398" t="e">
        <f>O135-#REF!</f>
        <v>#REF!</v>
      </c>
      <c r="S135" s="509"/>
    </row>
    <row r="136" spans="1:40" s="267" customFormat="1" ht="12">
      <c r="A136" s="420"/>
      <c r="B136" s="413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653"/>
      <c r="N136" s="468"/>
      <c r="O136" s="397"/>
      <c r="P136" s="133"/>
      <c r="Q136" s="133"/>
      <c r="R136" s="394"/>
      <c r="S136" s="500"/>
    </row>
    <row r="137" spans="1:40" s="285" customFormat="1" ht="12">
      <c r="A137" s="427" t="s">
        <v>215</v>
      </c>
      <c r="B137" s="287">
        <v>172646</v>
      </c>
      <c r="C137" s="275">
        <f t="shared" ref="C137:M137" si="29">B139</f>
        <v>135576</v>
      </c>
      <c r="D137" s="371" t="e">
        <f t="shared" si="29"/>
        <v>#REF!</v>
      </c>
      <c r="E137" s="275" t="e">
        <f t="shared" si="29"/>
        <v>#REF!</v>
      </c>
      <c r="F137" s="275" t="e">
        <f t="shared" si="29"/>
        <v>#REF!</v>
      </c>
      <c r="G137" s="275" t="e">
        <f t="shared" si="29"/>
        <v>#REF!</v>
      </c>
      <c r="H137" s="275" t="e">
        <f t="shared" si="29"/>
        <v>#REF!</v>
      </c>
      <c r="I137" s="275" t="e">
        <f t="shared" si="29"/>
        <v>#REF!</v>
      </c>
      <c r="J137" s="275" t="e">
        <f t="shared" si="29"/>
        <v>#REF!</v>
      </c>
      <c r="K137" s="275" t="e">
        <f t="shared" si="29"/>
        <v>#REF!</v>
      </c>
      <c r="L137" s="275" t="e">
        <f t="shared" si="29"/>
        <v>#REF!</v>
      </c>
      <c r="M137" s="664" t="e">
        <f t="shared" si="29"/>
        <v>#REF!</v>
      </c>
      <c r="N137" s="468"/>
      <c r="O137" s="397"/>
      <c r="P137" s="275" t="e">
        <f>P124+#REF!+P70</f>
        <v>#REF!</v>
      </c>
      <c r="Q137" s="275"/>
      <c r="R137" s="394"/>
      <c r="S137" s="510"/>
    </row>
    <row r="138" spans="1:40" s="267" customFormat="1" ht="12">
      <c r="A138" s="421"/>
      <c r="B138" s="414"/>
      <c r="C138" s="273"/>
      <c r="D138" s="371"/>
      <c r="E138" s="273"/>
      <c r="F138" s="273"/>
      <c r="G138" s="273"/>
      <c r="H138" s="273"/>
      <c r="I138" s="273"/>
      <c r="J138" s="273"/>
      <c r="K138" s="273"/>
      <c r="L138" s="273"/>
      <c r="M138" s="657"/>
      <c r="N138" s="468"/>
      <c r="O138" s="397"/>
      <c r="P138" s="133"/>
      <c r="Q138" s="133"/>
      <c r="R138" s="394"/>
      <c r="S138" s="500"/>
    </row>
    <row r="139" spans="1:40" s="376" customFormat="1" ht="12">
      <c r="A139" s="428" t="s">
        <v>216</v>
      </c>
      <c r="B139" s="415">
        <f>B135+B137</f>
        <v>135576</v>
      </c>
      <c r="C139" s="374" t="e">
        <f t="shared" ref="C139:M139" si="30">C135+C137</f>
        <v>#REF!</v>
      </c>
      <c r="D139" s="375" t="e">
        <f t="shared" si="30"/>
        <v>#REF!</v>
      </c>
      <c r="E139" s="374" t="e">
        <f t="shared" si="30"/>
        <v>#REF!</v>
      </c>
      <c r="F139" s="374" t="e">
        <f t="shared" si="30"/>
        <v>#REF!</v>
      </c>
      <c r="G139" s="374" t="e">
        <f t="shared" si="30"/>
        <v>#REF!</v>
      </c>
      <c r="H139" s="374" t="e">
        <f t="shared" si="30"/>
        <v>#REF!</v>
      </c>
      <c r="I139" s="374" t="e">
        <f t="shared" si="30"/>
        <v>#REF!</v>
      </c>
      <c r="J139" s="374" t="e">
        <f t="shared" si="30"/>
        <v>#REF!</v>
      </c>
      <c r="K139" s="374" t="e">
        <f t="shared" si="30"/>
        <v>#REF!</v>
      </c>
      <c r="L139" s="374" t="e">
        <f t="shared" si="30"/>
        <v>#REF!</v>
      </c>
      <c r="M139" s="665" t="e">
        <f t="shared" si="30"/>
        <v>#REF!</v>
      </c>
      <c r="N139" s="468"/>
      <c r="O139" s="397"/>
      <c r="P139" s="373"/>
      <c r="Q139" s="373"/>
      <c r="R139" s="394"/>
      <c r="S139" s="502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</row>
    <row r="140" spans="1:40" s="376" customFormat="1" ht="12">
      <c r="A140" s="427"/>
      <c r="B140" s="287"/>
      <c r="C140" s="275"/>
      <c r="D140" s="371"/>
      <c r="E140" s="275"/>
      <c r="F140" s="275"/>
      <c r="G140" s="275"/>
      <c r="H140" s="275"/>
      <c r="I140" s="275"/>
      <c r="J140" s="275"/>
      <c r="K140" s="275"/>
      <c r="L140" s="275"/>
      <c r="M140" s="664"/>
      <c r="N140" s="468"/>
      <c r="O140" s="397"/>
      <c r="P140" s="373"/>
      <c r="Q140" s="373"/>
      <c r="R140" s="394"/>
      <c r="S140" s="502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</row>
    <row r="141" spans="1:40" s="267" customFormat="1" ht="26">
      <c r="A141" s="419" t="s">
        <v>217</v>
      </c>
      <c r="B141" s="416">
        <v>135576</v>
      </c>
      <c r="C141" s="269">
        <v>98496</v>
      </c>
      <c r="D141" s="371">
        <v>63766</v>
      </c>
      <c r="E141" s="269">
        <v>16636</v>
      </c>
      <c r="F141" s="269">
        <v>-21094</v>
      </c>
      <c r="G141" s="269">
        <v>-36504</v>
      </c>
      <c r="H141" s="269">
        <v>-84790</v>
      </c>
      <c r="I141" s="269">
        <v>-85787</v>
      </c>
      <c r="J141" s="269">
        <v>-133508</v>
      </c>
      <c r="K141" s="269">
        <v>-100427</v>
      </c>
      <c r="L141" s="269">
        <v>-109863</v>
      </c>
      <c r="M141" s="666">
        <v>-92011</v>
      </c>
      <c r="N141" s="649"/>
      <c r="O141" s="411"/>
      <c r="P141" s="133"/>
      <c r="Q141" s="133"/>
      <c r="R141" s="394"/>
      <c r="S141" s="500"/>
    </row>
    <row r="142" spans="1:40">
      <c r="A142" s="417"/>
      <c r="B142" s="294"/>
      <c r="C142" s="294"/>
      <c r="D142" s="371"/>
      <c r="E142" s="301"/>
      <c r="F142" s="301"/>
      <c r="G142" s="301"/>
      <c r="H142" s="301"/>
      <c r="I142" s="301"/>
      <c r="J142" s="301"/>
      <c r="K142" s="301"/>
      <c r="L142" s="301"/>
      <c r="M142" s="667"/>
      <c r="N142" s="412"/>
      <c r="S142" s="501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</row>
    <row r="143" spans="1:40" ht="27">
      <c r="A143" s="419" t="s">
        <v>261</v>
      </c>
      <c r="B143" s="685"/>
      <c r="C143" s="685"/>
      <c r="D143" s="294"/>
      <c r="E143" s="294"/>
      <c r="F143" s="294"/>
      <c r="G143" s="294"/>
      <c r="H143" s="294"/>
      <c r="I143" s="294"/>
      <c r="J143" s="294"/>
      <c r="K143" s="294"/>
      <c r="L143" s="294"/>
      <c r="M143" s="650"/>
      <c r="N143" s="686"/>
      <c r="S143" s="501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</row>
    <row r="144" spans="1:40">
      <c r="A144" s="687">
        <v>100000</v>
      </c>
      <c r="B144" s="133"/>
      <c r="C144" s="133"/>
      <c r="D144" s="688"/>
      <c r="E144" s="688" t="e">
        <f>IF(E139,(100000-E139)/95)</f>
        <v>#REF!</v>
      </c>
      <c r="F144" s="688" t="e">
        <f>-F135/95</f>
        <v>#REF!</v>
      </c>
      <c r="G144" s="688"/>
      <c r="H144" s="688" t="e">
        <f t="shared" ref="H144:J144" si="31">-H135/95</f>
        <v>#REF!</v>
      </c>
      <c r="I144" s="688"/>
      <c r="J144" s="688" t="e">
        <f t="shared" si="31"/>
        <v>#REF!</v>
      </c>
      <c r="K144" s="688"/>
      <c r="L144" s="688"/>
      <c r="M144" s="650"/>
      <c r="N144" s="686" t="e">
        <f t="shared" ref="N144:N145" si="32">SUM(B144:M144)</f>
        <v>#REF!</v>
      </c>
      <c r="S144" s="501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</row>
    <row r="145" spans="1:14">
      <c r="A145" s="687">
        <v>200000</v>
      </c>
      <c r="B145" s="688">
        <f>(200000-B137-B135)/95</f>
        <v>678.14736842105265</v>
      </c>
      <c r="C145" s="688" t="e">
        <f>-C135/95</f>
        <v>#REF!</v>
      </c>
      <c r="D145" s="688" t="e">
        <f t="shared" ref="D145:J145" si="33">-D135/95</f>
        <v>#REF!</v>
      </c>
      <c r="E145" s="688" t="e">
        <f t="shared" si="33"/>
        <v>#REF!</v>
      </c>
      <c r="F145" s="688" t="e">
        <f t="shared" si="33"/>
        <v>#REF!</v>
      </c>
      <c r="G145" s="688"/>
      <c r="H145" s="688" t="e">
        <f t="shared" si="33"/>
        <v>#REF!</v>
      </c>
      <c r="I145" s="688"/>
      <c r="J145" s="688" t="e">
        <f t="shared" si="33"/>
        <v>#REF!</v>
      </c>
      <c r="K145" s="688"/>
      <c r="L145" s="688"/>
      <c r="M145" s="689"/>
      <c r="N145" s="686" t="e">
        <f t="shared" si="32"/>
        <v>#REF!</v>
      </c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A2614-D8F1-FF47-B1AF-C42156EA0D30}">
  <dimension ref="A1:AO147"/>
  <sheetViews>
    <sheetView zoomScale="170" zoomScaleNormal="170" zoomScalePageLayoutView="150" workbookViewId="0">
      <pane xSplit="1" ySplit="3" topLeftCell="B122" activePane="bottomRight" state="frozen"/>
      <selection pane="topRight" activeCell="AW1" sqref="AW1"/>
      <selection pane="bottomLeft" activeCell="A4" sqref="A4"/>
      <selection pane="bottomRight" activeCell="B9" sqref="B9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668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6" style="133" customWidth="1"/>
    <col min="19" max="19" width="15.1640625" style="394" customWidth="1"/>
    <col min="20" max="20" width="20.6640625" style="512" customWidth="1"/>
    <col min="21" max="16384" width="8.83203125" style="121"/>
  </cols>
  <sheetData>
    <row r="1" spans="1:20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650"/>
      <c r="T1" s="501"/>
    </row>
    <row r="2" spans="1:20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T2" s="501"/>
    </row>
    <row r="3" spans="1:20" s="638" customFormat="1" ht="2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640" t="s">
        <v>112</v>
      </c>
      <c r="O3" s="636" t="s">
        <v>113</v>
      </c>
      <c r="P3" s="637" t="s">
        <v>114</v>
      </c>
      <c r="Q3" s="637" t="s">
        <v>115</v>
      </c>
      <c r="R3" s="637" t="s">
        <v>228</v>
      </c>
      <c r="S3" s="433" t="s">
        <v>239</v>
      </c>
      <c r="T3" s="490"/>
    </row>
    <row r="4" spans="1:20" s="267" customFormat="1" ht="13">
      <c r="A4" s="419" t="s">
        <v>9</v>
      </c>
      <c r="B4" s="41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397"/>
      <c r="P4" s="133"/>
      <c r="Q4" s="133"/>
      <c r="R4" s="133"/>
      <c r="S4" s="398">
        <f>O4-R4</f>
        <v>0</v>
      </c>
      <c r="T4" s="500"/>
    </row>
    <row r="5" spans="1:20" s="267" customFormat="1" ht="13">
      <c r="A5" s="419" t="s">
        <v>10</v>
      </c>
      <c r="B5" s="27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397"/>
      <c r="P5" s="271"/>
      <c r="Q5" s="133"/>
      <c r="R5" s="133"/>
      <c r="S5" s="398">
        <f t="shared" ref="S5:S69" si="0">O5-R5</f>
        <v>0</v>
      </c>
      <c r="T5" s="500"/>
    </row>
    <row r="6" spans="1:20" s="267" customFormat="1" ht="13">
      <c r="A6" s="420" t="s">
        <v>11</v>
      </c>
      <c r="B6" s="278">
        <f>0</f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1" si="1">SUM(B6:M6)</f>
        <v>0</v>
      </c>
      <c r="O6" s="397">
        <v>0</v>
      </c>
      <c r="P6" s="271">
        <v>0</v>
      </c>
      <c r="Q6" s="274">
        <f>N6-P6</f>
        <v>0</v>
      </c>
      <c r="R6" s="397">
        <v>0</v>
      </c>
      <c r="S6" s="398">
        <f t="shared" si="0"/>
        <v>0</v>
      </c>
      <c r="T6" s="500"/>
    </row>
    <row r="7" spans="1:20" s="267" customFormat="1" ht="13">
      <c r="A7" s="420" t="s">
        <v>118</v>
      </c>
      <c r="B7" s="678">
        <v>0</v>
      </c>
      <c r="C7" s="678">
        <v>0</v>
      </c>
      <c r="D7" s="678">
        <v>0</v>
      </c>
      <c r="E7" s="678">
        <v>0</v>
      </c>
      <c r="F7" s="679">
        <v>10000</v>
      </c>
      <c r="G7" s="679">
        <v>11200</v>
      </c>
      <c r="H7" s="679">
        <v>1100</v>
      </c>
      <c r="I7" s="679">
        <v>600</v>
      </c>
      <c r="J7" s="679">
        <v>600</v>
      </c>
      <c r="K7" s="679">
        <v>1100</v>
      </c>
      <c r="L7" s="679">
        <v>10000</v>
      </c>
      <c r="M7" s="680">
        <v>10000</v>
      </c>
      <c r="N7" s="468">
        <f t="shared" si="1"/>
        <v>44600</v>
      </c>
      <c r="O7" s="397">
        <v>47000</v>
      </c>
      <c r="P7" s="271"/>
      <c r="Q7" s="274">
        <f t="shared" ref="Q7:Q23" si="2">N7-P7</f>
        <v>44600</v>
      </c>
      <c r="R7" s="397">
        <v>47000</v>
      </c>
      <c r="S7" s="398">
        <f t="shared" si="0"/>
        <v>0</v>
      </c>
      <c r="T7" s="500"/>
    </row>
    <row r="8" spans="1:20" s="267" customFormat="1" ht="13">
      <c r="A8" s="420" t="s">
        <v>13</v>
      </c>
      <c r="B8" s="278">
        <v>250000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654">
        <v>0</v>
      </c>
      <c r="N8" s="468">
        <f t="shared" si="1"/>
        <v>250000</v>
      </c>
      <c r="O8" s="397">
        <v>0</v>
      </c>
      <c r="P8" s="271">
        <v>5000</v>
      </c>
      <c r="Q8" s="274">
        <f t="shared" si="2"/>
        <v>245000</v>
      </c>
      <c r="R8" s="397">
        <v>0</v>
      </c>
      <c r="S8" s="398">
        <f t="shared" si="0"/>
        <v>0</v>
      </c>
      <c r="T8" s="500"/>
    </row>
    <row r="9" spans="1:20" s="267" customFormat="1" ht="12">
      <c r="A9" s="421" t="s">
        <v>119</v>
      </c>
      <c r="B9" s="278">
        <v>6250</v>
      </c>
      <c r="C9" s="271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654">
        <v>3750</v>
      </c>
      <c r="N9" s="468">
        <f t="shared" si="1"/>
        <v>40000</v>
      </c>
      <c r="O9" s="399">
        <v>40000</v>
      </c>
      <c r="P9" s="271">
        <v>77000</v>
      </c>
      <c r="Q9" s="274">
        <f t="shared" si="2"/>
        <v>-37000</v>
      </c>
      <c r="R9" s="399">
        <v>40000</v>
      </c>
      <c r="S9" s="398">
        <f t="shared" si="0"/>
        <v>0</v>
      </c>
      <c r="T9" s="500"/>
    </row>
    <row r="10" spans="1:20" s="267" customFormat="1" ht="15" customHeight="1">
      <c r="A10" s="420" t="s">
        <v>121</v>
      </c>
      <c r="B10" s="278">
        <v>10000</v>
      </c>
      <c r="C10" s="271">
        <v>4700</v>
      </c>
      <c r="D10" s="271">
        <v>4400</v>
      </c>
      <c r="E10" s="271">
        <v>6600</v>
      </c>
      <c r="F10" s="271">
        <v>8700</v>
      </c>
      <c r="G10" s="271">
        <v>7900</v>
      </c>
      <c r="H10" s="271">
        <v>5500</v>
      </c>
      <c r="I10" s="271">
        <v>35000</v>
      </c>
      <c r="J10" s="271">
        <v>3800</v>
      </c>
      <c r="K10" s="271">
        <v>100000</v>
      </c>
      <c r="L10" s="271">
        <v>15000</v>
      </c>
      <c r="M10" s="654">
        <v>35000</v>
      </c>
      <c r="N10" s="468">
        <f t="shared" si="1"/>
        <v>236600</v>
      </c>
      <c r="O10" s="397">
        <v>236600</v>
      </c>
      <c r="P10" s="271">
        <v>697365.77</v>
      </c>
      <c r="Q10" s="274">
        <f t="shared" si="2"/>
        <v>-460765.77</v>
      </c>
      <c r="R10" s="397">
        <v>236600</v>
      </c>
      <c r="S10" s="398">
        <f t="shared" si="0"/>
        <v>0</v>
      </c>
      <c r="T10" s="500"/>
    </row>
    <row r="11" spans="1:20" s="267" customFormat="1" ht="13">
      <c r="A11" s="437" t="s">
        <v>19</v>
      </c>
      <c r="B11" s="276">
        <f t="shared" ref="B11:M11" si="3">SUM(B6:B10)</f>
        <v>266250</v>
      </c>
      <c r="C11" s="276">
        <f t="shared" si="3"/>
        <v>5950</v>
      </c>
      <c r="D11" s="276">
        <f t="shared" si="3"/>
        <v>6900</v>
      </c>
      <c r="E11" s="276">
        <f t="shared" si="3"/>
        <v>7850</v>
      </c>
      <c r="F11" s="276">
        <f t="shared" si="3"/>
        <v>19950</v>
      </c>
      <c r="G11" s="276">
        <f t="shared" si="3"/>
        <v>26600</v>
      </c>
      <c r="H11" s="276">
        <f t="shared" si="3"/>
        <v>7850</v>
      </c>
      <c r="I11" s="276">
        <f t="shared" si="3"/>
        <v>36850</v>
      </c>
      <c r="J11" s="276">
        <f t="shared" si="3"/>
        <v>15650</v>
      </c>
      <c r="K11" s="276">
        <f t="shared" si="3"/>
        <v>102350</v>
      </c>
      <c r="L11" s="276">
        <f t="shared" si="3"/>
        <v>26250</v>
      </c>
      <c r="M11" s="655">
        <f t="shared" si="3"/>
        <v>48750</v>
      </c>
      <c r="N11" s="641">
        <f t="shared" si="1"/>
        <v>571200</v>
      </c>
      <c r="O11" s="440">
        <f>SUM(O6:O10)</f>
        <v>323600</v>
      </c>
      <c r="P11" s="276">
        <v>779365.77</v>
      </c>
      <c r="Q11" s="275">
        <f t="shared" si="2"/>
        <v>-208165.77000000002</v>
      </c>
      <c r="R11" s="440">
        <f>SUM(R6:R10)</f>
        <v>323600</v>
      </c>
      <c r="S11" s="398">
        <f t="shared" si="0"/>
        <v>0</v>
      </c>
      <c r="T11" s="500"/>
    </row>
    <row r="12" spans="1:20" s="267" customFormat="1" ht="6" customHeight="1">
      <c r="A12" s="420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656"/>
      <c r="N12" s="468"/>
      <c r="O12" s="397"/>
      <c r="P12" s="133"/>
      <c r="Q12" s="274"/>
      <c r="R12" s="397"/>
      <c r="S12" s="398">
        <f t="shared" si="0"/>
        <v>0</v>
      </c>
      <c r="T12" s="500"/>
    </row>
    <row r="13" spans="1:20" s="267" customFormat="1" ht="13">
      <c r="A13" s="419" t="s">
        <v>122</v>
      </c>
      <c r="B13" s="278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654"/>
      <c r="N13" s="468"/>
      <c r="O13" s="397"/>
      <c r="P13" s="271"/>
      <c r="Q13" s="274"/>
      <c r="R13" s="397"/>
      <c r="S13" s="398">
        <f t="shared" si="0"/>
        <v>0</v>
      </c>
      <c r="T13" s="500"/>
    </row>
    <row r="14" spans="1:20" s="267" customFormat="1" ht="13">
      <c r="A14" s="420" t="s">
        <v>21</v>
      </c>
      <c r="B14" s="278">
        <v>0</v>
      </c>
      <c r="C14" s="271">
        <v>0</v>
      </c>
      <c r="D14" s="271">
        <v>0</v>
      </c>
      <c r="E14" s="271">
        <v>0</v>
      </c>
      <c r="F14" s="271">
        <v>17000</v>
      </c>
      <c r="G14" s="271">
        <v>17000</v>
      </c>
      <c r="H14" s="271">
        <v>17000</v>
      </c>
      <c r="I14" s="271">
        <v>17000</v>
      </c>
      <c r="J14" s="271">
        <v>17000</v>
      </c>
      <c r="K14" s="271">
        <v>17000</v>
      </c>
      <c r="L14" s="271">
        <v>0</v>
      </c>
      <c r="M14" s="654">
        <f>0</f>
        <v>0</v>
      </c>
      <c r="N14" s="468">
        <f>SUM(B14:M14)</f>
        <v>102000</v>
      </c>
      <c r="O14" s="397">
        <v>102000</v>
      </c>
      <c r="P14" s="271"/>
      <c r="Q14" s="274"/>
      <c r="R14" s="523">
        <v>102000</v>
      </c>
      <c r="S14" s="398">
        <f t="shared" si="0"/>
        <v>0</v>
      </c>
      <c r="T14" s="500"/>
    </row>
    <row r="15" spans="1:20" s="267" customFormat="1" ht="13">
      <c r="A15" s="419" t="s">
        <v>124</v>
      </c>
      <c r="B15" s="278">
        <v>0</v>
      </c>
      <c r="C15" s="271">
        <f>0</f>
        <v>0</v>
      </c>
      <c r="D15" s="271">
        <v>0</v>
      </c>
      <c r="E15" s="271">
        <v>0</v>
      </c>
      <c r="F15" s="271">
        <v>10000</v>
      </c>
      <c r="G15" s="271">
        <f>0</f>
        <v>0</v>
      </c>
      <c r="H15" s="271">
        <v>10000</v>
      </c>
      <c r="I15" s="271">
        <f>0</f>
        <v>0</v>
      </c>
      <c r="J15" s="271">
        <v>10000</v>
      </c>
      <c r="K15" s="271">
        <f>0</f>
        <v>0</v>
      </c>
      <c r="L15" s="271">
        <f>0</f>
        <v>0</v>
      </c>
      <c r="M15" s="654">
        <f>0</f>
        <v>0</v>
      </c>
      <c r="N15" s="468">
        <f>SUM(B15:M15)</f>
        <v>30000</v>
      </c>
      <c r="O15" s="397">
        <v>30000</v>
      </c>
      <c r="P15" s="271"/>
      <c r="Q15" s="274"/>
      <c r="R15" s="397">
        <v>30000</v>
      </c>
      <c r="S15" s="398">
        <f t="shared" si="0"/>
        <v>0</v>
      </c>
      <c r="T15" s="500"/>
    </row>
    <row r="16" spans="1:20" s="267" customFormat="1" ht="13">
      <c r="A16" s="420" t="s">
        <v>25</v>
      </c>
      <c r="B16" s="278">
        <v>0</v>
      </c>
      <c r="C16" s="271">
        <f>0</f>
        <v>0</v>
      </c>
      <c r="D16" s="271">
        <f>0</f>
        <v>0</v>
      </c>
      <c r="E16" s="271">
        <f>0</f>
        <v>0</v>
      </c>
      <c r="F16" s="271">
        <f>0</f>
        <v>0</v>
      </c>
      <c r="G16" s="278">
        <f>0</f>
        <v>0</v>
      </c>
      <c r="H16" s="271">
        <f>0</f>
        <v>0</v>
      </c>
      <c r="I16" s="271">
        <f>0</f>
        <v>0</v>
      </c>
      <c r="J16" s="271">
        <f>0</f>
        <v>0</v>
      </c>
      <c r="K16" s="271">
        <f>0</f>
        <v>0</v>
      </c>
      <c r="L16" s="271">
        <f>0</f>
        <v>0</v>
      </c>
      <c r="M16" s="654">
        <f>0</f>
        <v>0</v>
      </c>
      <c r="N16" s="468">
        <f>SUM(B16:M16)</f>
        <v>0</v>
      </c>
      <c r="O16" s="397">
        <v>0</v>
      </c>
      <c r="P16" s="271"/>
      <c r="Q16" s="274"/>
      <c r="R16" s="397">
        <v>0</v>
      </c>
      <c r="S16" s="398">
        <f t="shared" si="0"/>
        <v>0</v>
      </c>
      <c r="T16" s="500"/>
    </row>
    <row r="17" spans="1:20" s="368" customFormat="1" ht="13">
      <c r="A17" s="419" t="s">
        <v>125</v>
      </c>
      <c r="B17" s="276">
        <f>SUM(B14:B16)</f>
        <v>0</v>
      </c>
      <c r="C17" s="276">
        <f t="shared" ref="C17:M17" si="4">SUM(C14:C16)</f>
        <v>0</v>
      </c>
      <c r="D17" s="276">
        <f t="shared" si="4"/>
        <v>0</v>
      </c>
      <c r="E17" s="276">
        <f t="shared" si="4"/>
        <v>0</v>
      </c>
      <c r="F17" s="276">
        <f t="shared" si="4"/>
        <v>27000</v>
      </c>
      <c r="G17" s="276">
        <f t="shared" si="4"/>
        <v>17000</v>
      </c>
      <c r="H17" s="276">
        <f t="shared" si="4"/>
        <v>27000</v>
      </c>
      <c r="I17" s="276">
        <f t="shared" si="4"/>
        <v>17000</v>
      </c>
      <c r="J17" s="276">
        <f t="shared" si="4"/>
        <v>27000</v>
      </c>
      <c r="K17" s="276">
        <f t="shared" si="4"/>
        <v>17000</v>
      </c>
      <c r="L17" s="276">
        <f t="shared" si="4"/>
        <v>0</v>
      </c>
      <c r="M17" s="655">
        <f t="shared" si="4"/>
        <v>0</v>
      </c>
      <c r="N17" s="641">
        <f>SUM(B17:M17)</f>
        <v>132000</v>
      </c>
      <c r="O17" s="440">
        <f>SUM(O14:O16)</f>
        <v>132000</v>
      </c>
      <c r="P17" s="276"/>
      <c r="Q17" s="276"/>
      <c r="R17" s="440">
        <f>SUM(R14:R16)</f>
        <v>132000</v>
      </c>
      <c r="S17" s="398">
        <f t="shared" si="0"/>
        <v>0</v>
      </c>
      <c r="T17" s="502"/>
    </row>
    <row r="18" spans="1:20" s="267" customFormat="1" ht="6" customHeight="1">
      <c r="A18" s="420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656"/>
      <c r="N18" s="468"/>
      <c r="O18" s="397"/>
      <c r="P18" s="272"/>
      <c r="Q18" s="274"/>
      <c r="R18" s="397"/>
      <c r="S18" s="398">
        <f t="shared" si="0"/>
        <v>0</v>
      </c>
      <c r="T18" s="500"/>
    </row>
    <row r="19" spans="1:20" s="267" customFormat="1" ht="13">
      <c r="A19" s="419" t="s">
        <v>27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654"/>
      <c r="N19" s="468"/>
      <c r="O19" s="397"/>
      <c r="P19" s="271"/>
      <c r="Q19" s="274"/>
      <c r="R19" s="397"/>
      <c r="S19" s="398">
        <f t="shared" si="0"/>
        <v>0</v>
      </c>
      <c r="T19" s="500"/>
    </row>
    <row r="20" spans="1:20" s="267" customFormat="1" ht="13">
      <c r="A20" s="420" t="s">
        <v>126</v>
      </c>
      <c r="B20" s="278">
        <f>0</f>
        <v>0</v>
      </c>
      <c r="C20" s="271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654">
        <f>0</f>
        <v>0</v>
      </c>
      <c r="N20" s="468">
        <f>SUM(B20:M20)</f>
        <v>0</v>
      </c>
      <c r="O20" s="397">
        <v>0</v>
      </c>
      <c r="P20" s="271">
        <v>-651.64999999999986</v>
      </c>
      <c r="Q20" s="274">
        <f t="shared" si="2"/>
        <v>651.64999999999986</v>
      </c>
      <c r="R20" s="397">
        <v>0</v>
      </c>
      <c r="S20" s="398">
        <f t="shared" si="0"/>
        <v>0</v>
      </c>
      <c r="T20" s="500"/>
    </row>
    <row r="21" spans="1:20" s="267" customFormat="1" ht="13">
      <c r="A21" s="420" t="s">
        <v>127</v>
      </c>
      <c r="B21" s="681">
        <v>0</v>
      </c>
      <c r="C21" s="681">
        <v>0</v>
      </c>
      <c r="D21" s="681">
        <v>0</v>
      </c>
      <c r="E21" s="681">
        <v>0</v>
      </c>
      <c r="F21" s="681">
        <v>0</v>
      </c>
      <c r="G21" s="681">
        <v>0</v>
      </c>
      <c r="H21" s="681">
        <v>0</v>
      </c>
      <c r="I21" s="681">
        <v>0</v>
      </c>
      <c r="J21" s="681">
        <v>0</v>
      </c>
      <c r="K21" s="681">
        <v>0</v>
      </c>
      <c r="L21" s="681">
        <v>0</v>
      </c>
      <c r="M21" s="682">
        <v>0</v>
      </c>
      <c r="N21" s="468">
        <f>SUM(B21:M21)</f>
        <v>0</v>
      </c>
      <c r="O21" s="397">
        <v>4200</v>
      </c>
      <c r="P21" s="274"/>
      <c r="Q21" s="274">
        <f t="shared" si="2"/>
        <v>0</v>
      </c>
      <c r="R21" s="397">
        <v>4200</v>
      </c>
      <c r="S21" s="398">
        <f t="shared" si="0"/>
        <v>0</v>
      </c>
      <c r="T21" s="500"/>
    </row>
    <row r="22" spans="1:20" s="267" customFormat="1" ht="13">
      <c r="A22" s="420" t="s">
        <v>128</v>
      </c>
      <c r="B22" s="278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657"/>
      <c r="N22" s="468">
        <f>SUM(B22:M22)</f>
        <v>0</v>
      </c>
      <c r="O22" s="397">
        <v>0</v>
      </c>
      <c r="P22" s="274"/>
      <c r="Q22" s="274">
        <f t="shared" si="2"/>
        <v>0</v>
      </c>
      <c r="R22" s="397">
        <v>0</v>
      </c>
      <c r="S22" s="398">
        <f t="shared" si="0"/>
        <v>0</v>
      </c>
      <c r="T22" s="500"/>
    </row>
    <row r="23" spans="1:20" s="267" customFormat="1" ht="13">
      <c r="A23" s="422" t="s">
        <v>29</v>
      </c>
      <c r="B23" s="276">
        <f>SUM(B19:B22)</f>
        <v>0</v>
      </c>
      <c r="C23" s="276">
        <f>SUM(C20:C22)</f>
        <v>0</v>
      </c>
      <c r="D23" s="276">
        <f t="shared" ref="D23:M23" si="5">SUM(D20:D22)</f>
        <v>0</v>
      </c>
      <c r="E23" s="276">
        <f t="shared" si="5"/>
        <v>0</v>
      </c>
      <c r="F23" s="276">
        <f t="shared" si="5"/>
        <v>0</v>
      </c>
      <c r="G23" s="276">
        <f t="shared" si="5"/>
        <v>0</v>
      </c>
      <c r="H23" s="276">
        <f>SUM(H19:H22)</f>
        <v>0</v>
      </c>
      <c r="I23" s="276">
        <f t="shared" si="5"/>
        <v>0</v>
      </c>
      <c r="J23" s="276">
        <f t="shared" si="5"/>
        <v>0</v>
      </c>
      <c r="K23" s="276">
        <f t="shared" si="5"/>
        <v>0</v>
      </c>
      <c r="L23" s="276">
        <f t="shared" si="5"/>
        <v>0</v>
      </c>
      <c r="M23" s="655">
        <f t="shared" si="5"/>
        <v>0</v>
      </c>
      <c r="N23" s="641">
        <f>SUM(B23:M23)</f>
        <v>0</v>
      </c>
      <c r="O23" s="440">
        <f>SUM(O20:O22)</f>
        <v>4200</v>
      </c>
      <c r="P23" s="276">
        <v>-651.64999999999986</v>
      </c>
      <c r="Q23" s="276">
        <f t="shared" si="2"/>
        <v>651.64999999999986</v>
      </c>
      <c r="R23" s="440">
        <f>SUM(R20:R22)</f>
        <v>4200</v>
      </c>
      <c r="S23" s="398">
        <f t="shared" si="0"/>
        <v>0</v>
      </c>
      <c r="T23" s="500"/>
    </row>
    <row r="24" spans="1:20" s="267" customFormat="1" ht="6" customHeight="1">
      <c r="A24" s="420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656"/>
      <c r="N24" s="468"/>
      <c r="O24" s="397"/>
      <c r="P24" s="133"/>
      <c r="Q24" s="133"/>
      <c r="R24" s="133"/>
      <c r="S24" s="398">
        <f t="shared" si="0"/>
        <v>0</v>
      </c>
      <c r="T24" s="500"/>
    </row>
    <row r="25" spans="1:20" s="267" customFormat="1" ht="13">
      <c r="A25" s="419" t="s">
        <v>30</v>
      </c>
      <c r="B25" s="278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654"/>
      <c r="N25" s="468"/>
      <c r="O25" s="397"/>
      <c r="P25" s="133"/>
      <c r="Q25" s="133"/>
      <c r="R25" s="133"/>
      <c r="S25" s="398">
        <f t="shared" si="0"/>
        <v>0</v>
      </c>
      <c r="T25" s="500"/>
    </row>
    <row r="26" spans="1:20" s="267" customFormat="1" ht="13">
      <c r="A26" s="420" t="s">
        <v>31</v>
      </c>
      <c r="B26" s="278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654">
        <v>0</v>
      </c>
      <c r="N26" s="468">
        <f t="shared" ref="N26:N44" si="6">SUM(B26:M26)</f>
        <v>0</v>
      </c>
      <c r="O26" s="397">
        <v>0</v>
      </c>
      <c r="P26" s="271">
        <v>6.1899999999999995</v>
      </c>
      <c r="Q26" s="274">
        <f>N26-P26</f>
        <v>-6.1899999999999995</v>
      </c>
      <c r="R26" s="397">
        <v>0</v>
      </c>
      <c r="S26" s="398">
        <f t="shared" si="0"/>
        <v>0</v>
      </c>
      <c r="T26" s="500"/>
    </row>
    <row r="27" spans="1:20" s="267" customFormat="1" ht="13">
      <c r="A27" s="420" t="s">
        <v>129</v>
      </c>
      <c r="B27" s="278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654">
        <v>0</v>
      </c>
      <c r="N27" s="468">
        <f t="shared" si="6"/>
        <v>0</v>
      </c>
      <c r="O27" s="397">
        <v>0</v>
      </c>
      <c r="P27" s="271">
        <v>288.74999999999994</v>
      </c>
      <c r="Q27" s="274">
        <f t="shared" ref="Q27:Q44" si="7">N27-P27</f>
        <v>-288.74999999999994</v>
      </c>
      <c r="R27" s="397">
        <v>0</v>
      </c>
      <c r="S27" s="398">
        <f t="shared" si="0"/>
        <v>0</v>
      </c>
      <c r="T27" s="500"/>
    </row>
    <row r="28" spans="1:20" s="267" customFormat="1" ht="13">
      <c r="A28" s="420" t="s">
        <v>130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654">
        <v>0</v>
      </c>
      <c r="N28" s="468">
        <f t="shared" si="6"/>
        <v>0</v>
      </c>
      <c r="O28" s="397">
        <v>0</v>
      </c>
      <c r="P28" s="271"/>
      <c r="Q28" s="274">
        <f t="shared" si="7"/>
        <v>0</v>
      </c>
      <c r="R28" s="397">
        <v>0</v>
      </c>
      <c r="S28" s="398">
        <f t="shared" si="0"/>
        <v>0</v>
      </c>
      <c r="T28" s="500"/>
    </row>
    <row r="29" spans="1:20" s="267" customFormat="1" ht="13" hidden="1">
      <c r="A29" s="420" t="s">
        <v>131</v>
      </c>
      <c r="B29" s="278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654"/>
      <c r="N29" s="468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397">
        <v>0</v>
      </c>
      <c r="S29" s="398">
        <f t="shared" si="0"/>
        <v>0</v>
      </c>
      <c r="T29" s="500"/>
    </row>
    <row r="30" spans="1:20" s="267" customFormat="1" ht="13" hidden="1">
      <c r="A30" s="420" t="s">
        <v>132</v>
      </c>
      <c r="B30" s="278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654"/>
      <c r="N30" s="468">
        <f t="shared" si="6"/>
        <v>0</v>
      </c>
      <c r="O30" s="397">
        <v>0</v>
      </c>
      <c r="P30" s="271">
        <v>0</v>
      </c>
      <c r="Q30" s="274">
        <f t="shared" si="7"/>
        <v>0</v>
      </c>
      <c r="R30" s="397">
        <v>0</v>
      </c>
      <c r="S30" s="398">
        <f t="shared" si="0"/>
        <v>0</v>
      </c>
      <c r="T30" s="500"/>
    </row>
    <row r="31" spans="1:20" s="267" customFormat="1" ht="13" hidden="1">
      <c r="A31" s="420" t="s">
        <v>133</v>
      </c>
      <c r="B31" s="278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654"/>
      <c r="N31" s="468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397">
        <v>0</v>
      </c>
      <c r="S31" s="398">
        <f t="shared" si="0"/>
        <v>0</v>
      </c>
      <c r="T31" s="500"/>
    </row>
    <row r="32" spans="1:20" s="267" customFormat="1" ht="13">
      <c r="A32" s="420" t="s">
        <v>39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654"/>
      <c r="N32" s="468"/>
      <c r="O32" s="397"/>
      <c r="P32" s="271">
        <v>99794.28</v>
      </c>
      <c r="Q32" s="274">
        <f t="shared" si="7"/>
        <v>-99794.28</v>
      </c>
      <c r="R32" s="397"/>
      <c r="S32" s="398">
        <f t="shared" si="0"/>
        <v>0</v>
      </c>
      <c r="T32" s="500"/>
    </row>
    <row r="33" spans="1:23" s="527" customFormat="1" ht="39">
      <c r="A33" s="519" t="s">
        <v>134</v>
      </c>
      <c r="B33" s="683">
        <v>0</v>
      </c>
      <c r="C33" s="683">
        <v>0</v>
      </c>
      <c r="D33" s="683">
        <v>0</v>
      </c>
      <c r="E33" s="683">
        <v>0</v>
      </c>
      <c r="F33" s="683">
        <v>0</v>
      </c>
      <c r="G33" s="683">
        <v>0</v>
      </c>
      <c r="H33" s="683">
        <v>0</v>
      </c>
      <c r="I33" s="683">
        <v>0</v>
      </c>
      <c r="J33" s="683">
        <v>0</v>
      </c>
      <c r="K33" s="683">
        <v>0</v>
      </c>
      <c r="L33" s="683">
        <v>0</v>
      </c>
      <c r="M33" s="684">
        <v>0</v>
      </c>
      <c r="N33" s="642">
        <f t="shared" ref="N33:N38" si="8">SUM(B33:M33)</f>
        <v>0</v>
      </c>
      <c r="O33" s="523">
        <v>1800</v>
      </c>
      <c r="P33" s="521"/>
      <c r="Q33" s="524"/>
      <c r="R33" s="523">
        <v>7200</v>
      </c>
      <c r="S33" s="525">
        <f t="shared" si="0"/>
        <v>-5400</v>
      </c>
      <c r="T33" s="526" t="s">
        <v>240</v>
      </c>
    </row>
    <row r="34" spans="1:23" s="527" customFormat="1" ht="39">
      <c r="A34" s="519" t="s">
        <v>135</v>
      </c>
      <c r="B34" s="683">
        <v>0</v>
      </c>
      <c r="C34" s="683">
        <v>0</v>
      </c>
      <c r="D34" s="683">
        <v>0</v>
      </c>
      <c r="E34" s="683">
        <v>0</v>
      </c>
      <c r="F34" s="683">
        <v>0</v>
      </c>
      <c r="G34" s="683">
        <v>0</v>
      </c>
      <c r="H34" s="683">
        <v>0</v>
      </c>
      <c r="I34" s="683">
        <v>0</v>
      </c>
      <c r="J34" s="683">
        <v>0</v>
      </c>
      <c r="K34" s="683">
        <v>0</v>
      </c>
      <c r="L34" s="683">
        <v>0</v>
      </c>
      <c r="M34" s="684">
        <v>0</v>
      </c>
      <c r="N34" s="642">
        <f t="shared" si="8"/>
        <v>0</v>
      </c>
      <c r="O34" s="523">
        <v>9000</v>
      </c>
      <c r="P34" s="521"/>
      <c r="Q34" s="524"/>
      <c r="R34" s="523">
        <v>25200</v>
      </c>
      <c r="S34" s="525">
        <f t="shared" si="0"/>
        <v>-16200</v>
      </c>
      <c r="T34" s="526" t="s">
        <v>241</v>
      </c>
    </row>
    <row r="35" spans="1:23" s="527" customFormat="1" ht="86" customHeight="1">
      <c r="A35" s="519" t="s">
        <v>136</v>
      </c>
      <c r="B35" s="690">
        <f>Assumptions!B13</f>
        <v>29450</v>
      </c>
      <c r="C35" s="690">
        <f>Assumptions!C13</f>
        <v>32395</v>
      </c>
      <c r="D35" s="690">
        <f>Assumptions!D13</f>
        <v>35634.5</v>
      </c>
      <c r="E35" s="690">
        <f>Assumptions!E13</f>
        <v>39197.950000000004</v>
      </c>
      <c r="F35" s="690">
        <f>Assumptions!F13</f>
        <v>43117.74500000001</v>
      </c>
      <c r="G35" s="690">
        <f>Assumptions!G13</f>
        <v>47429.519500000009</v>
      </c>
      <c r="H35" s="690">
        <f>Assumptions!H13</f>
        <v>52172.471450000019</v>
      </c>
      <c r="I35" s="690">
        <f>Assumptions!I13</f>
        <v>57389.71859500002</v>
      </c>
      <c r="J35" s="690">
        <f>Assumptions!J13</f>
        <v>63128.690454500029</v>
      </c>
      <c r="K35" s="690">
        <f>Assumptions!K13</f>
        <v>69441.559499950032</v>
      </c>
      <c r="L35" s="690">
        <f>Assumptions!L13</f>
        <v>76385.715449945041</v>
      </c>
      <c r="M35" s="658">
        <f>Assumptions!M13</f>
        <v>84024.286994939554</v>
      </c>
      <c r="N35" s="642">
        <f t="shared" si="8"/>
        <v>629767.15694433474</v>
      </c>
      <c r="O35" s="523">
        <v>448000</v>
      </c>
      <c r="P35" s="521"/>
      <c r="Q35" s="524"/>
      <c r="R35" s="523">
        <v>1706000</v>
      </c>
      <c r="S35" s="525">
        <f t="shared" si="0"/>
        <v>-1258000</v>
      </c>
      <c r="T35" s="526" t="s">
        <v>242</v>
      </c>
    </row>
    <row r="36" spans="1:23" s="267" customFormat="1" ht="13">
      <c r="A36" s="420" t="s">
        <v>137</v>
      </c>
      <c r="B36" s="278">
        <f>Assumptions!B15</f>
        <v>11400</v>
      </c>
      <c r="C36" s="278">
        <f>Assumptions!C15</f>
        <v>11400</v>
      </c>
      <c r="D36" s="278">
        <f>Assumptions!D15</f>
        <v>11400</v>
      </c>
      <c r="E36" s="278">
        <f>Assumptions!E15</f>
        <v>11400</v>
      </c>
      <c r="F36" s="278">
        <f>Assumptions!F15</f>
        <v>11400</v>
      </c>
      <c r="G36" s="278">
        <f>Assumptions!G15</f>
        <v>11400</v>
      </c>
      <c r="H36" s="278">
        <f>Assumptions!H15</f>
        <v>11400</v>
      </c>
      <c r="I36" s="278">
        <f>Assumptions!I15</f>
        <v>11400</v>
      </c>
      <c r="J36" s="278">
        <f>Assumptions!J15</f>
        <v>11400</v>
      </c>
      <c r="K36" s="278">
        <f>Assumptions!K15</f>
        <v>11400</v>
      </c>
      <c r="L36" s="278">
        <f>Assumptions!L15</f>
        <v>11400</v>
      </c>
      <c r="M36" s="658">
        <f>Assumptions!M15</f>
        <v>11400</v>
      </c>
      <c r="N36" s="468">
        <f>SUM(B36:M36)</f>
        <v>136800</v>
      </c>
      <c r="O36" s="397">
        <v>36000</v>
      </c>
      <c r="P36" s="271">
        <v>15873</v>
      </c>
      <c r="Q36" s="274">
        <f t="shared" si="7"/>
        <v>120927</v>
      </c>
      <c r="R36" s="397">
        <v>151200</v>
      </c>
      <c r="S36" s="398">
        <f t="shared" si="0"/>
        <v>-115200</v>
      </c>
      <c r="T36" s="500"/>
    </row>
    <row r="37" spans="1:23" s="527" customFormat="1" ht="26">
      <c r="A37" s="519" t="s">
        <v>138</v>
      </c>
      <c r="B37" s="520">
        <v>0</v>
      </c>
      <c r="C37" s="520">
        <v>0</v>
      </c>
      <c r="D37" s="520">
        <v>0</v>
      </c>
      <c r="E37" s="520">
        <v>0</v>
      </c>
      <c r="F37" s="520">
        <v>0</v>
      </c>
      <c r="G37" s="520">
        <f>5*9500</f>
        <v>47500</v>
      </c>
      <c r="H37" s="520">
        <v>0</v>
      </c>
      <c r="I37" s="521">
        <v>0</v>
      </c>
      <c r="J37" s="521">
        <f>5*9500</f>
        <v>47500</v>
      </c>
      <c r="K37" s="521">
        <v>0</v>
      </c>
      <c r="L37" s="521">
        <v>0</v>
      </c>
      <c r="M37" s="658">
        <v>0</v>
      </c>
      <c r="N37" s="642">
        <f t="shared" si="8"/>
        <v>95000</v>
      </c>
      <c r="O37" s="523">
        <v>87000</v>
      </c>
      <c r="P37" s="521"/>
      <c r="Q37" s="524"/>
      <c r="R37" s="523">
        <v>174000</v>
      </c>
      <c r="S37" s="525">
        <f t="shared" si="0"/>
        <v>-87000</v>
      </c>
      <c r="T37" s="526" t="s">
        <v>244</v>
      </c>
    </row>
    <row r="38" spans="1:23" s="267" customFormat="1" ht="13">
      <c r="A38" s="420" t="s">
        <v>139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654">
        <v>0</v>
      </c>
      <c r="N38" s="468">
        <f t="shared" si="8"/>
        <v>0</v>
      </c>
      <c r="O38" s="397">
        <v>0</v>
      </c>
      <c r="P38" s="271"/>
      <c r="Q38" s="274">
        <f>N38-P38</f>
        <v>0</v>
      </c>
      <c r="R38" s="397">
        <v>0</v>
      </c>
      <c r="S38" s="398">
        <f t="shared" si="0"/>
        <v>0</v>
      </c>
      <c r="T38" s="500"/>
    </row>
    <row r="39" spans="1:23" s="267" customFormat="1" ht="12">
      <c r="A39" s="420"/>
      <c r="B39" s="278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654"/>
      <c r="N39" s="468"/>
      <c r="O39" s="397"/>
      <c r="P39" s="271"/>
      <c r="Q39" s="274"/>
      <c r="R39" s="397"/>
      <c r="S39" s="398">
        <f t="shared" si="0"/>
        <v>0</v>
      </c>
      <c r="T39" s="500"/>
    </row>
    <row r="40" spans="1:23" s="267" customFormat="1" ht="13">
      <c r="A40" s="420" t="s">
        <v>140</v>
      </c>
      <c r="B40" s="367">
        <v>0</v>
      </c>
      <c r="C40" s="278">
        <v>0</v>
      </c>
      <c r="D40" s="271">
        <v>-10000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-10000</v>
      </c>
      <c r="K40" s="271">
        <v>0</v>
      </c>
      <c r="L40" s="271">
        <v>0</v>
      </c>
      <c r="M40" s="654">
        <v>0</v>
      </c>
      <c r="N40" s="468">
        <f>SUM(B40:M40)</f>
        <v>-20000</v>
      </c>
      <c r="O40" s="397">
        <v>-20000</v>
      </c>
      <c r="P40" s="271"/>
      <c r="Q40" s="274"/>
      <c r="R40" s="397">
        <v>-20000</v>
      </c>
      <c r="S40" s="398">
        <f t="shared" si="0"/>
        <v>0</v>
      </c>
      <c r="T40" s="500"/>
    </row>
    <row r="41" spans="1:23" s="267" customFormat="1" ht="13">
      <c r="A41" s="420" t="s">
        <v>141</v>
      </c>
      <c r="B41" s="278">
        <v>0</v>
      </c>
      <c r="C41" s="278">
        <v>0</v>
      </c>
      <c r="D41" s="278">
        <v>7500</v>
      </c>
      <c r="E41" s="278">
        <v>0</v>
      </c>
      <c r="F41" s="271">
        <v>0</v>
      </c>
      <c r="G41" s="271">
        <v>7500</v>
      </c>
      <c r="H41" s="271">
        <v>0</v>
      </c>
      <c r="I41" s="271">
        <v>0</v>
      </c>
      <c r="J41" s="271">
        <v>7500</v>
      </c>
      <c r="K41" s="271">
        <v>0</v>
      </c>
      <c r="L41" s="271">
        <v>0</v>
      </c>
      <c r="M41" s="654">
        <v>7500</v>
      </c>
      <c r="N41" s="468">
        <f t="shared" si="6"/>
        <v>30000</v>
      </c>
      <c r="O41" s="397">
        <v>22500</v>
      </c>
      <c r="P41" s="271"/>
      <c r="Q41" s="274">
        <f t="shared" si="7"/>
        <v>30000</v>
      </c>
      <c r="R41" s="397">
        <v>22500</v>
      </c>
      <c r="S41" s="398">
        <f t="shared" si="0"/>
        <v>0</v>
      </c>
      <c r="T41" s="500"/>
    </row>
    <row r="42" spans="1:23" s="267" customFormat="1" ht="13">
      <c r="A42" s="420" t="s">
        <v>142</v>
      </c>
      <c r="B42" s="278">
        <v>300</v>
      </c>
      <c r="C42" s="278">
        <v>300</v>
      </c>
      <c r="D42" s="278">
        <v>300</v>
      </c>
      <c r="E42" s="278">
        <v>300</v>
      </c>
      <c r="F42" s="278">
        <v>300</v>
      </c>
      <c r="G42" s="278">
        <v>300</v>
      </c>
      <c r="H42" s="278">
        <v>800</v>
      </c>
      <c r="I42" s="278">
        <v>300</v>
      </c>
      <c r="J42" s="278">
        <v>300</v>
      </c>
      <c r="K42" s="278">
        <v>300</v>
      </c>
      <c r="L42" s="278">
        <v>300</v>
      </c>
      <c r="M42" s="654">
        <v>300</v>
      </c>
      <c r="N42" s="443">
        <f>SUM(B42:M42)</f>
        <v>4100</v>
      </c>
      <c r="O42" s="397">
        <v>4100</v>
      </c>
      <c r="P42" s="278"/>
      <c r="Q42" s="286"/>
      <c r="R42" s="397">
        <v>8200</v>
      </c>
      <c r="S42" s="398">
        <f t="shared" si="0"/>
        <v>-4100</v>
      </c>
      <c r="T42" s="503"/>
      <c r="U42" s="369"/>
      <c r="V42" s="369"/>
      <c r="W42" s="369"/>
    </row>
    <row r="43" spans="1:23" s="267" customFormat="1" ht="13">
      <c r="A43" s="420" t="s">
        <v>41</v>
      </c>
      <c r="B43" s="278">
        <f>0</f>
        <v>0</v>
      </c>
      <c r="C43" s="271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654">
        <f>0</f>
        <v>0</v>
      </c>
      <c r="N43" s="468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397">
        <v>0</v>
      </c>
      <c r="S43" s="398">
        <f t="shared" si="0"/>
        <v>0</v>
      </c>
      <c r="T43" s="500"/>
    </row>
    <row r="44" spans="1:23" s="438" customFormat="1" ht="13">
      <c r="A44" s="437" t="s">
        <v>42</v>
      </c>
      <c r="B44" s="276">
        <f t="shared" ref="B44:M44" si="9">SUM(B26:B43)</f>
        <v>41150</v>
      </c>
      <c r="C44" s="276">
        <f t="shared" si="9"/>
        <v>44095</v>
      </c>
      <c r="D44" s="276">
        <f t="shared" si="9"/>
        <v>44834.5</v>
      </c>
      <c r="E44" s="276">
        <f t="shared" si="9"/>
        <v>50897.950000000004</v>
      </c>
      <c r="F44" s="276">
        <f t="shared" si="9"/>
        <v>54817.74500000001</v>
      </c>
      <c r="G44" s="276">
        <f t="shared" si="9"/>
        <v>114129.51950000001</v>
      </c>
      <c r="H44" s="276">
        <f t="shared" si="9"/>
        <v>64372.471450000019</v>
      </c>
      <c r="I44" s="276">
        <f t="shared" si="9"/>
        <v>69089.718595000013</v>
      </c>
      <c r="J44" s="276">
        <f t="shared" si="9"/>
        <v>119828.69045450003</v>
      </c>
      <c r="K44" s="276">
        <f t="shared" si="9"/>
        <v>81141.559499950032</v>
      </c>
      <c r="L44" s="276">
        <f t="shared" si="9"/>
        <v>88085.715449945041</v>
      </c>
      <c r="M44" s="655">
        <f t="shared" si="9"/>
        <v>103224.28699493955</v>
      </c>
      <c r="N44" s="641">
        <f t="shared" si="6"/>
        <v>875667.15694433474</v>
      </c>
      <c r="O44" s="440">
        <f>SUM(O26:O43)</f>
        <v>588400</v>
      </c>
      <c r="P44" s="276">
        <v>401062.26</v>
      </c>
      <c r="Q44" s="276">
        <f t="shared" si="7"/>
        <v>474604.89694433473</v>
      </c>
      <c r="R44" s="440">
        <f>SUM(R26:R43)</f>
        <v>2074300</v>
      </c>
      <c r="S44" s="398">
        <f t="shared" si="0"/>
        <v>-1485900</v>
      </c>
      <c r="T44" s="504"/>
    </row>
    <row r="45" spans="1:23" s="267" customFormat="1" ht="6" customHeight="1">
      <c r="A45" s="419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656"/>
      <c r="N45" s="468"/>
      <c r="O45" s="397"/>
      <c r="P45" s="133"/>
      <c r="Q45" s="133"/>
      <c r="R45" s="397"/>
      <c r="S45" s="398">
        <f t="shared" si="0"/>
        <v>0</v>
      </c>
      <c r="T45" s="500"/>
    </row>
    <row r="46" spans="1:23" s="267" customFormat="1" ht="13">
      <c r="A46" s="420" t="s">
        <v>43</v>
      </c>
      <c r="B46" s="278">
        <v>-1000</v>
      </c>
      <c r="C46" s="278">
        <v>-1000</v>
      </c>
      <c r="D46" s="278">
        <v>-1000</v>
      </c>
      <c r="E46" s="278">
        <v>-1000</v>
      </c>
      <c r="F46" s="278">
        <v>-1000</v>
      </c>
      <c r="G46" s="278">
        <v>-1000</v>
      </c>
      <c r="H46" s="278">
        <v>-1000</v>
      </c>
      <c r="I46" s="278">
        <v>-1000</v>
      </c>
      <c r="J46" s="278">
        <v>-1000</v>
      </c>
      <c r="K46" s="271">
        <v>-4000</v>
      </c>
      <c r="L46" s="271">
        <v>-2000</v>
      </c>
      <c r="M46" s="654">
        <v>-2000</v>
      </c>
      <c r="N46" s="468">
        <f>SUM(B46:M46)</f>
        <v>-17000</v>
      </c>
      <c r="O46" s="399">
        <v>-17000</v>
      </c>
      <c r="P46" s="271">
        <v>0</v>
      </c>
      <c r="Q46" s="274">
        <f>N46-P46</f>
        <v>-17000</v>
      </c>
      <c r="R46" s="399">
        <v>-62000</v>
      </c>
      <c r="S46" s="398">
        <f t="shared" si="0"/>
        <v>45000</v>
      </c>
      <c r="T46" s="500" t="s">
        <v>220</v>
      </c>
    </row>
    <row r="47" spans="1:23" s="267" customFormat="1" ht="14" thickBot="1">
      <c r="A47" s="420" t="s">
        <v>143</v>
      </c>
      <c r="B47" s="278">
        <f>0</f>
        <v>0</v>
      </c>
      <c r="C47" s="271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654">
        <f>0</f>
        <v>0</v>
      </c>
      <c r="N47" s="468">
        <f>SUM(B47:M47)</f>
        <v>0</v>
      </c>
      <c r="O47" s="397">
        <v>0</v>
      </c>
      <c r="P47" s="271">
        <v>0</v>
      </c>
      <c r="Q47" s="274">
        <f>N47-P47</f>
        <v>0</v>
      </c>
      <c r="R47" s="397">
        <v>0</v>
      </c>
      <c r="S47" s="398">
        <f t="shared" si="0"/>
        <v>0</v>
      </c>
      <c r="T47" s="500"/>
    </row>
    <row r="48" spans="1:23" s="452" customFormat="1" ht="14" thickTop="1">
      <c r="A48" s="445" t="s">
        <v>45</v>
      </c>
      <c r="B48" s="446">
        <f t="shared" ref="B48:M48" si="10">(((((B11)+(B17))+(B23))+(B44))+(B46))+(B47)</f>
        <v>306400</v>
      </c>
      <c r="C48" s="446">
        <f t="shared" si="10"/>
        <v>49045</v>
      </c>
      <c r="D48" s="446">
        <f t="shared" si="10"/>
        <v>50734.5</v>
      </c>
      <c r="E48" s="446">
        <f t="shared" si="10"/>
        <v>57747.950000000004</v>
      </c>
      <c r="F48" s="446">
        <f t="shared" si="10"/>
        <v>100767.74500000001</v>
      </c>
      <c r="G48" s="446">
        <f t="shared" si="10"/>
        <v>156729.51949999999</v>
      </c>
      <c r="H48" s="446">
        <f t="shared" si="10"/>
        <v>98222.471450000012</v>
      </c>
      <c r="I48" s="446">
        <f t="shared" si="10"/>
        <v>121939.71859500001</v>
      </c>
      <c r="J48" s="446">
        <f t="shared" si="10"/>
        <v>161478.69045450003</v>
      </c>
      <c r="K48" s="446">
        <f t="shared" si="10"/>
        <v>196491.55949995003</v>
      </c>
      <c r="L48" s="446">
        <f t="shared" si="10"/>
        <v>112335.71544994504</v>
      </c>
      <c r="M48" s="659">
        <f t="shared" si="10"/>
        <v>149974.28699493955</v>
      </c>
      <c r="N48" s="643">
        <f>SUM(B48:M48)</f>
        <v>1561867.156944335</v>
      </c>
      <c r="O48" s="449">
        <f>SUM(O11,O17,O23,O44,O46,O47)</f>
        <v>1031200</v>
      </c>
      <c r="P48" s="446">
        <v>1179776.3799999999</v>
      </c>
      <c r="Q48" s="450">
        <f>N48-P48</f>
        <v>382090.77694433508</v>
      </c>
      <c r="R48" s="449">
        <f>SUM(R11,R17,R23,R44,R46,R47)</f>
        <v>2472100</v>
      </c>
      <c r="S48" s="398">
        <f t="shared" si="0"/>
        <v>-1440900</v>
      </c>
      <c r="T48" s="505"/>
    </row>
    <row r="49" spans="1:20" s="267" customFormat="1" ht="13" customHeight="1">
      <c r="A49" s="44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656"/>
      <c r="N49" s="443"/>
      <c r="O49" s="444"/>
      <c r="P49" s="370"/>
      <c r="Q49" s="370"/>
      <c r="R49" s="370"/>
      <c r="S49" s="398">
        <f t="shared" si="0"/>
        <v>0</v>
      </c>
      <c r="T49" s="500"/>
    </row>
    <row r="50" spans="1:20" s="267" customFormat="1" ht="13">
      <c r="A50" s="419" t="s">
        <v>46</v>
      </c>
      <c r="B50" s="413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653"/>
      <c r="N50" s="468"/>
      <c r="O50" s="397"/>
      <c r="P50" s="133"/>
      <c r="Q50" s="133"/>
      <c r="R50" s="133"/>
      <c r="S50" s="398">
        <f t="shared" si="0"/>
        <v>0</v>
      </c>
      <c r="T50" s="500"/>
    </row>
    <row r="51" spans="1:20" s="267" customFormat="1" ht="13">
      <c r="A51" s="419" t="s">
        <v>144</v>
      </c>
      <c r="B51" s="278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654"/>
      <c r="N51" s="468"/>
      <c r="O51" s="397"/>
      <c r="P51" s="133"/>
      <c r="Q51" s="133"/>
      <c r="R51" s="133"/>
      <c r="S51" s="398">
        <f t="shared" si="0"/>
        <v>0</v>
      </c>
      <c r="T51" s="500"/>
    </row>
    <row r="52" spans="1:20" s="267" customFormat="1" ht="13">
      <c r="A52" s="420" t="s">
        <v>48</v>
      </c>
      <c r="B52" s="278">
        <v>400</v>
      </c>
      <c r="C52" s="278">
        <v>400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654">
        <v>400</v>
      </c>
      <c r="N52" s="468">
        <f t="shared" ref="N52:N60" si="11">SUM(B52:M52)</f>
        <v>4800</v>
      </c>
      <c r="O52" s="397">
        <v>4800</v>
      </c>
      <c r="P52" s="271">
        <v>3875.12</v>
      </c>
      <c r="Q52" s="274">
        <f>N52-P52</f>
        <v>924.88000000000011</v>
      </c>
      <c r="R52" s="397">
        <v>4800</v>
      </c>
      <c r="S52" s="398">
        <f t="shared" si="0"/>
        <v>0</v>
      </c>
      <c r="T52" s="500"/>
    </row>
    <row r="53" spans="1:20" s="527" customFormat="1" ht="26">
      <c r="A53" s="519" t="s">
        <v>145</v>
      </c>
      <c r="B53" s="520">
        <v>1000</v>
      </c>
      <c r="C53" s="520">
        <v>1000</v>
      </c>
      <c r="D53" s="520">
        <v>1000</v>
      </c>
      <c r="E53" s="520">
        <v>1000</v>
      </c>
      <c r="F53" s="520">
        <v>1000</v>
      </c>
      <c r="G53" s="520">
        <v>1000</v>
      </c>
      <c r="H53" s="520">
        <v>1000</v>
      </c>
      <c r="I53" s="520">
        <v>1000</v>
      </c>
      <c r="J53" s="520">
        <v>1000</v>
      </c>
      <c r="K53" s="520">
        <v>1000</v>
      </c>
      <c r="L53" s="520">
        <v>1000</v>
      </c>
      <c r="M53" s="658">
        <v>8000</v>
      </c>
      <c r="N53" s="642">
        <f t="shared" si="11"/>
        <v>19000</v>
      </c>
      <c r="O53" s="523">
        <v>19000</v>
      </c>
      <c r="P53" s="521">
        <v>20722.400000000001</v>
      </c>
      <c r="Q53" s="524">
        <f t="shared" ref="Q53:Q60" si="12">N53-P53</f>
        <v>-1722.4000000000015</v>
      </c>
      <c r="R53" s="523">
        <v>38000</v>
      </c>
      <c r="S53" s="525">
        <f t="shared" si="0"/>
        <v>-19000</v>
      </c>
      <c r="T53" s="526" t="s">
        <v>245</v>
      </c>
    </row>
    <row r="54" spans="1:20" s="527" customFormat="1" ht="26">
      <c r="A54" s="519" t="s">
        <v>146</v>
      </c>
      <c r="B54" s="520">
        <v>2000</v>
      </c>
      <c r="C54" s="520">
        <v>2000</v>
      </c>
      <c r="D54" s="520">
        <v>2000</v>
      </c>
      <c r="E54" s="520">
        <v>2000</v>
      </c>
      <c r="F54" s="520">
        <v>2000</v>
      </c>
      <c r="G54" s="520">
        <v>2000</v>
      </c>
      <c r="H54" s="520">
        <v>5000</v>
      </c>
      <c r="I54" s="520">
        <v>5000</v>
      </c>
      <c r="J54" s="520">
        <v>5000</v>
      </c>
      <c r="K54" s="520">
        <v>5000</v>
      </c>
      <c r="L54" s="520">
        <v>5000</v>
      </c>
      <c r="M54" s="658">
        <v>5000</v>
      </c>
      <c r="N54" s="642">
        <f t="shared" si="11"/>
        <v>42000</v>
      </c>
      <c r="O54" s="523">
        <v>42000</v>
      </c>
      <c r="P54" s="521">
        <v>24074</v>
      </c>
      <c r="Q54" s="524">
        <f t="shared" si="12"/>
        <v>17926</v>
      </c>
      <c r="R54" s="523">
        <v>60000</v>
      </c>
      <c r="S54" s="525">
        <f t="shared" si="0"/>
        <v>-18000</v>
      </c>
      <c r="T54" s="526" t="s">
        <v>246</v>
      </c>
    </row>
    <row r="55" spans="1:20" s="267" customFormat="1" ht="13">
      <c r="A55" s="420" t="s">
        <v>147</v>
      </c>
      <c r="B55" s="278">
        <v>300</v>
      </c>
      <c r="C55" s="278">
        <v>300</v>
      </c>
      <c r="D55" s="278">
        <v>300</v>
      </c>
      <c r="E55" s="278">
        <v>300</v>
      </c>
      <c r="F55" s="278">
        <v>300</v>
      </c>
      <c r="G55" s="278">
        <v>300</v>
      </c>
      <c r="H55" s="278">
        <v>300</v>
      </c>
      <c r="I55" s="278">
        <v>300</v>
      </c>
      <c r="J55" s="278">
        <v>300</v>
      </c>
      <c r="K55" s="278">
        <v>300</v>
      </c>
      <c r="L55" s="278">
        <v>300</v>
      </c>
      <c r="M55" s="654">
        <v>300</v>
      </c>
      <c r="N55" s="468">
        <f t="shared" si="11"/>
        <v>3600</v>
      </c>
      <c r="O55" s="397">
        <v>3600</v>
      </c>
      <c r="P55" s="271">
        <v>4249.01</v>
      </c>
      <c r="Q55" s="274">
        <f t="shared" si="12"/>
        <v>-649.01000000000022</v>
      </c>
      <c r="R55" s="397">
        <v>3600</v>
      </c>
      <c r="S55" s="398">
        <f t="shared" si="0"/>
        <v>0</v>
      </c>
      <c r="T55" s="500"/>
    </row>
    <row r="56" spans="1:20" s="267" customFormat="1" ht="13">
      <c r="A56" s="420" t="s">
        <v>148</v>
      </c>
      <c r="B56" s="278">
        <v>0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654">
        <v>0</v>
      </c>
      <c r="N56" s="468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397">
        <v>3000</v>
      </c>
      <c r="S56" s="398">
        <f t="shared" si="0"/>
        <v>0</v>
      </c>
      <c r="T56" s="500"/>
    </row>
    <row r="57" spans="1:20" s="267" customFormat="1" ht="13">
      <c r="A57" s="420" t="s">
        <v>149</v>
      </c>
      <c r="B57" s="278">
        <v>500</v>
      </c>
      <c r="C57" s="278">
        <v>500</v>
      </c>
      <c r="D57" s="278">
        <v>500</v>
      </c>
      <c r="E57" s="278">
        <v>500</v>
      </c>
      <c r="F57" s="278">
        <v>500</v>
      </c>
      <c r="G57" s="278">
        <v>500</v>
      </c>
      <c r="H57" s="278">
        <v>500</v>
      </c>
      <c r="I57" s="278">
        <v>500</v>
      </c>
      <c r="J57" s="278">
        <v>500</v>
      </c>
      <c r="K57" s="278">
        <v>500</v>
      </c>
      <c r="L57" s="278">
        <v>500</v>
      </c>
      <c r="M57" s="654">
        <v>500</v>
      </c>
      <c r="N57" s="468">
        <f>SUM(B57:M57)</f>
        <v>6000</v>
      </c>
      <c r="O57" s="397">
        <v>6000</v>
      </c>
      <c r="P57" s="271"/>
      <c r="Q57" s="274">
        <f t="shared" si="12"/>
        <v>6000</v>
      </c>
      <c r="R57" s="397">
        <v>6000</v>
      </c>
      <c r="S57" s="398">
        <f t="shared" si="0"/>
        <v>0</v>
      </c>
      <c r="T57" s="500"/>
    </row>
    <row r="58" spans="1:20" s="267" customFormat="1" ht="13">
      <c r="A58" s="420" t="s">
        <v>150</v>
      </c>
      <c r="B58" s="278">
        <v>0</v>
      </c>
      <c r="C58" s="679">
        <v>8500</v>
      </c>
      <c r="D58" s="271">
        <v>0</v>
      </c>
      <c r="E58" s="679">
        <v>8500</v>
      </c>
      <c r="F58" s="271">
        <v>0</v>
      </c>
      <c r="G58" s="271">
        <v>1000</v>
      </c>
      <c r="H58" s="271">
        <v>11500</v>
      </c>
      <c r="I58" s="271">
        <v>11500</v>
      </c>
      <c r="J58" s="271">
        <v>18000</v>
      </c>
      <c r="K58" s="271">
        <v>38000</v>
      </c>
      <c r="L58" s="271">
        <v>3000</v>
      </c>
      <c r="M58" s="654">
        <v>5000</v>
      </c>
      <c r="N58" s="468">
        <f t="shared" si="11"/>
        <v>105000</v>
      </c>
      <c r="O58" s="397">
        <v>123000</v>
      </c>
      <c r="P58" s="271">
        <v>35418.75</v>
      </c>
      <c r="Q58" s="274">
        <f t="shared" si="12"/>
        <v>69581.25</v>
      </c>
      <c r="R58" s="397">
        <v>123000</v>
      </c>
      <c r="S58" s="398">
        <f t="shared" si="0"/>
        <v>0</v>
      </c>
      <c r="T58" s="500"/>
    </row>
    <row r="59" spans="1:20" s="267" customFormat="1" ht="13">
      <c r="A59" s="420" t="s">
        <v>151</v>
      </c>
      <c r="B59" s="278">
        <v>0</v>
      </c>
      <c r="C59" s="271">
        <v>0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654">
        <v>0</v>
      </c>
      <c r="N59" s="468">
        <f t="shared" si="11"/>
        <v>3000</v>
      </c>
      <c r="O59" s="397">
        <v>3000</v>
      </c>
      <c r="P59" s="271">
        <v>2665.37</v>
      </c>
      <c r="Q59" s="274">
        <f t="shared" si="12"/>
        <v>334.63000000000011</v>
      </c>
      <c r="R59" s="397">
        <v>3000</v>
      </c>
      <c r="S59" s="398">
        <f t="shared" si="0"/>
        <v>0</v>
      </c>
      <c r="T59" s="500"/>
    </row>
    <row r="60" spans="1:20" s="267" customFormat="1" ht="13">
      <c r="A60" s="423" t="s">
        <v>152</v>
      </c>
      <c r="B60" s="639">
        <f t="shared" ref="B60:M60" si="13">SUM(B52:B59)</f>
        <v>4200</v>
      </c>
      <c r="C60" s="469">
        <f t="shared" si="13"/>
        <v>12700</v>
      </c>
      <c r="D60" s="469">
        <f t="shared" si="13"/>
        <v>4200</v>
      </c>
      <c r="E60" s="469">
        <f t="shared" si="13"/>
        <v>12700</v>
      </c>
      <c r="F60" s="469">
        <f t="shared" si="13"/>
        <v>4200</v>
      </c>
      <c r="G60" s="469">
        <f t="shared" si="13"/>
        <v>5200</v>
      </c>
      <c r="H60" s="469">
        <f t="shared" si="13"/>
        <v>18700</v>
      </c>
      <c r="I60" s="469">
        <f t="shared" si="13"/>
        <v>21700</v>
      </c>
      <c r="J60" s="469">
        <f t="shared" si="13"/>
        <v>25200</v>
      </c>
      <c r="K60" s="469">
        <f t="shared" si="13"/>
        <v>48200</v>
      </c>
      <c r="L60" s="469">
        <f t="shared" si="13"/>
        <v>10200</v>
      </c>
      <c r="M60" s="660">
        <f t="shared" si="13"/>
        <v>19200</v>
      </c>
      <c r="N60" s="467">
        <f t="shared" si="11"/>
        <v>186400</v>
      </c>
      <c r="O60" s="406">
        <f>SUM(O52:O59)</f>
        <v>204400</v>
      </c>
      <c r="P60" s="469">
        <v>91929.239999999991</v>
      </c>
      <c r="Q60" s="469">
        <f t="shared" si="12"/>
        <v>94470.760000000009</v>
      </c>
      <c r="R60" s="401">
        <f>SUM(R52:R59)</f>
        <v>241400</v>
      </c>
      <c r="S60" s="398">
        <f t="shared" si="0"/>
        <v>-37000</v>
      </c>
      <c r="T60" s="500"/>
    </row>
    <row r="61" spans="1:20" s="267" customFormat="1" ht="6" customHeight="1">
      <c r="A61" s="419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656"/>
      <c r="N61" s="468"/>
      <c r="O61" s="397"/>
      <c r="P61" s="133"/>
      <c r="Q61" s="133"/>
      <c r="R61" s="133"/>
      <c r="S61" s="398">
        <f t="shared" si="0"/>
        <v>0</v>
      </c>
      <c r="T61" s="500"/>
    </row>
    <row r="62" spans="1:20" s="267" customFormat="1" ht="13">
      <c r="A62" s="419" t="s">
        <v>153</v>
      </c>
      <c r="B62" s="414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657"/>
      <c r="N62" s="468"/>
      <c r="O62" s="397"/>
      <c r="P62" s="133"/>
      <c r="Q62" s="133"/>
      <c r="R62" s="133"/>
      <c r="S62" s="398">
        <f t="shared" si="0"/>
        <v>0</v>
      </c>
      <c r="T62" s="500"/>
    </row>
    <row r="63" spans="1:20" s="267" customFormat="1" ht="13">
      <c r="A63" s="420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654"/>
      <c r="N63" s="467"/>
      <c r="O63" s="406"/>
      <c r="P63" s="271">
        <v>49969.65</v>
      </c>
      <c r="Q63" s="274">
        <f>N63-P63</f>
        <v>-49969.65</v>
      </c>
      <c r="R63" s="274"/>
      <c r="S63" s="398">
        <f t="shared" si="0"/>
        <v>0</v>
      </c>
      <c r="T63" s="500"/>
    </row>
    <row r="64" spans="1:20" s="267" customFormat="1" ht="13">
      <c r="A64" s="571" t="s">
        <v>155</v>
      </c>
      <c r="B64" s="278">
        <v>5000</v>
      </c>
      <c r="C64" s="278">
        <v>5000</v>
      </c>
      <c r="D64" s="278">
        <v>5000</v>
      </c>
      <c r="E64" s="278">
        <v>5000</v>
      </c>
      <c r="F64" s="278">
        <v>5000</v>
      </c>
      <c r="G64" s="278">
        <v>5000</v>
      </c>
      <c r="H64" s="278">
        <v>5000</v>
      </c>
      <c r="I64" s="278">
        <v>5000</v>
      </c>
      <c r="J64" s="278">
        <v>5000</v>
      </c>
      <c r="K64" s="278">
        <v>5000</v>
      </c>
      <c r="L64" s="278">
        <v>5000</v>
      </c>
      <c r="M64" s="654">
        <v>5000</v>
      </c>
      <c r="N64" s="467">
        <f>SUM(B64:M64)</f>
        <v>60000</v>
      </c>
      <c r="O64" s="397">
        <v>24000</v>
      </c>
      <c r="P64" s="271"/>
      <c r="Q64" s="274"/>
      <c r="R64" s="669">
        <v>24000</v>
      </c>
      <c r="S64" s="398">
        <f t="shared" si="0"/>
        <v>0</v>
      </c>
      <c r="T64" s="500"/>
    </row>
    <row r="65" spans="1:23" s="267" customFormat="1" ht="13">
      <c r="A65" s="571" t="s">
        <v>156</v>
      </c>
      <c r="B65" s="278">
        <v>1100</v>
      </c>
      <c r="C65" s="278">
        <v>1100</v>
      </c>
      <c r="D65" s="278">
        <v>1100</v>
      </c>
      <c r="E65" s="278">
        <v>1100</v>
      </c>
      <c r="F65" s="278">
        <v>1100</v>
      </c>
      <c r="G65" s="278">
        <v>1100</v>
      </c>
      <c r="H65" s="278">
        <v>1100</v>
      </c>
      <c r="I65" s="278">
        <v>1100</v>
      </c>
      <c r="J65" s="278">
        <v>1100</v>
      </c>
      <c r="K65" s="278">
        <v>1100</v>
      </c>
      <c r="L65" s="278">
        <v>1100</v>
      </c>
      <c r="M65" s="654">
        <v>1100</v>
      </c>
      <c r="N65" s="468">
        <f t="shared" ref="N65:N75" si="14">SUM(B65:M65)</f>
        <v>13200</v>
      </c>
      <c r="O65" s="397">
        <v>13200</v>
      </c>
      <c r="P65" s="271"/>
      <c r="Q65" s="133"/>
      <c r="R65" s="669">
        <v>13200</v>
      </c>
      <c r="S65" s="398">
        <f t="shared" si="0"/>
        <v>0</v>
      </c>
      <c r="T65" s="500"/>
    </row>
    <row r="66" spans="1:23" s="527" customFormat="1" ht="26">
      <c r="A66" s="491" t="s">
        <v>247</v>
      </c>
      <c r="B66" s="520">
        <v>0</v>
      </c>
      <c r="C66" s="520">
        <v>0</v>
      </c>
      <c r="D66" s="520">
        <v>0</v>
      </c>
      <c r="E66" s="520">
        <v>0</v>
      </c>
      <c r="F66" s="520">
        <v>0</v>
      </c>
      <c r="G66" s="520">
        <v>0</v>
      </c>
      <c r="H66" s="520">
        <v>3000</v>
      </c>
      <c r="I66" s="520">
        <v>3000</v>
      </c>
      <c r="J66" s="520">
        <v>3000</v>
      </c>
      <c r="K66" s="520">
        <v>3000</v>
      </c>
      <c r="L66" s="520">
        <v>3000</v>
      </c>
      <c r="M66" s="658">
        <v>3000</v>
      </c>
      <c r="N66" s="642">
        <f t="shared" si="14"/>
        <v>18000</v>
      </c>
      <c r="O66" s="523">
        <v>18000</v>
      </c>
      <c r="P66" s="521"/>
      <c r="Q66" s="530"/>
      <c r="R66" s="671">
        <v>36000</v>
      </c>
      <c r="S66" s="525">
        <f t="shared" si="0"/>
        <v>-18000</v>
      </c>
      <c r="T66" s="526" t="s">
        <v>248</v>
      </c>
    </row>
    <row r="67" spans="1:23" s="527" customFormat="1" ht="13">
      <c r="A67" s="491" t="s">
        <v>249</v>
      </c>
      <c r="B67" s="520">
        <v>10000</v>
      </c>
      <c r="C67" s="520"/>
      <c r="D67" s="520">
        <v>10000</v>
      </c>
      <c r="E67" s="520"/>
      <c r="F67" s="520">
        <v>10000</v>
      </c>
      <c r="G67" s="520"/>
      <c r="H67" s="520">
        <v>10000</v>
      </c>
      <c r="I67" s="520"/>
      <c r="J67" s="520">
        <v>10000</v>
      </c>
      <c r="K67" s="520"/>
      <c r="L67" s="520">
        <v>10000</v>
      </c>
      <c r="M67" s="658"/>
      <c r="N67" s="642">
        <f t="shared" si="14"/>
        <v>60000</v>
      </c>
      <c r="O67" s="523"/>
      <c r="P67" s="521"/>
      <c r="Q67" s="530"/>
      <c r="R67" s="671"/>
      <c r="S67" s="525"/>
      <c r="T67" s="526"/>
    </row>
    <row r="68" spans="1:23" s="527" customFormat="1" ht="26">
      <c r="A68" s="519" t="s">
        <v>250</v>
      </c>
      <c r="B68" s="520">
        <v>10000</v>
      </c>
      <c r="C68" s="520">
        <v>10000</v>
      </c>
      <c r="D68" s="520">
        <v>10000</v>
      </c>
      <c r="E68" s="520">
        <v>10000</v>
      </c>
      <c r="F68" s="520">
        <v>10000</v>
      </c>
      <c r="G68" s="520">
        <v>10000</v>
      </c>
      <c r="H68" s="520">
        <v>10000</v>
      </c>
      <c r="I68" s="520">
        <v>10000</v>
      </c>
      <c r="J68" s="520">
        <v>10000</v>
      </c>
      <c r="K68" s="520">
        <v>10000</v>
      </c>
      <c r="L68" s="520">
        <v>10000</v>
      </c>
      <c r="M68" s="658">
        <v>10000</v>
      </c>
      <c r="N68" s="642">
        <f t="shared" si="14"/>
        <v>120000</v>
      </c>
      <c r="O68" s="523">
        <v>9000</v>
      </c>
      <c r="P68" s="521"/>
      <c r="Q68" s="530"/>
      <c r="R68" s="671">
        <v>12000</v>
      </c>
      <c r="S68" s="525">
        <f t="shared" si="0"/>
        <v>-3000</v>
      </c>
      <c r="T68" s="526" t="s">
        <v>251</v>
      </c>
    </row>
    <row r="69" spans="1:23" s="527" customFormat="1" ht="13">
      <c r="A69" s="519" t="s">
        <v>252</v>
      </c>
      <c r="B69" s="674">
        <v>0</v>
      </c>
      <c r="C69" s="672">
        <v>0</v>
      </c>
      <c r="D69" s="672">
        <v>0</v>
      </c>
      <c r="E69" s="672">
        <v>0</v>
      </c>
      <c r="F69" s="672">
        <v>0</v>
      </c>
      <c r="G69" s="672">
        <v>0</v>
      </c>
      <c r="H69" s="672">
        <v>0</v>
      </c>
      <c r="I69" s="672">
        <v>0</v>
      </c>
      <c r="J69" s="672">
        <v>0</v>
      </c>
      <c r="K69" s="520">
        <v>11000</v>
      </c>
      <c r="L69" s="520">
        <v>0</v>
      </c>
      <c r="M69" s="658">
        <v>0</v>
      </c>
      <c r="N69" s="642">
        <f>SUM(B69:M69)</f>
        <v>11000</v>
      </c>
      <c r="O69" s="523">
        <v>16300</v>
      </c>
      <c r="P69" s="521"/>
      <c r="Q69" s="530"/>
      <c r="R69" s="671">
        <v>16300</v>
      </c>
      <c r="S69" s="525">
        <f t="shared" si="0"/>
        <v>0</v>
      </c>
      <c r="T69" s="526"/>
    </row>
    <row r="70" spans="1:23" s="527" customFormat="1" ht="26">
      <c r="A70" s="519" t="s">
        <v>262</v>
      </c>
      <c r="B70" s="520">
        <v>500</v>
      </c>
      <c r="C70" s="520">
        <v>500</v>
      </c>
      <c r="D70" s="520">
        <v>500</v>
      </c>
      <c r="E70" s="520">
        <v>500</v>
      </c>
      <c r="F70" s="520">
        <v>500</v>
      </c>
      <c r="G70" s="520">
        <v>500</v>
      </c>
      <c r="H70" s="520">
        <v>1000</v>
      </c>
      <c r="I70" s="520">
        <v>1000</v>
      </c>
      <c r="J70" s="520">
        <v>1000</v>
      </c>
      <c r="K70" s="520">
        <v>1000</v>
      </c>
      <c r="L70" s="520">
        <v>1000</v>
      </c>
      <c r="M70" s="658">
        <v>1000</v>
      </c>
      <c r="N70" s="642">
        <f t="shared" si="14"/>
        <v>9000</v>
      </c>
      <c r="O70" s="523">
        <v>9000</v>
      </c>
      <c r="P70" s="521"/>
      <c r="Q70" s="543"/>
      <c r="R70" s="671">
        <v>12000</v>
      </c>
      <c r="S70" s="525">
        <f t="shared" ref="S70:S133" si="15">O70-R70</f>
        <v>-3000</v>
      </c>
      <c r="T70" s="526" t="s">
        <v>251</v>
      </c>
    </row>
    <row r="71" spans="1:23" s="527" customFormat="1" ht="65">
      <c r="A71" s="519" t="s">
        <v>165</v>
      </c>
      <c r="B71" s="520">
        <v>3000</v>
      </c>
      <c r="C71" s="520">
        <v>500</v>
      </c>
      <c r="D71" s="520">
        <v>500</v>
      </c>
      <c r="E71" s="520">
        <v>500</v>
      </c>
      <c r="F71" s="520">
        <v>500</v>
      </c>
      <c r="G71" s="520">
        <v>500</v>
      </c>
      <c r="H71" s="520">
        <v>1000</v>
      </c>
      <c r="I71" s="520">
        <v>1000</v>
      </c>
      <c r="J71" s="520">
        <v>1000</v>
      </c>
      <c r="K71" s="520">
        <v>1000</v>
      </c>
      <c r="L71" s="520">
        <v>1000</v>
      </c>
      <c r="M71" s="658">
        <v>1000</v>
      </c>
      <c r="N71" s="642">
        <f t="shared" si="14"/>
        <v>11500</v>
      </c>
      <c r="O71" s="523">
        <v>11500</v>
      </c>
      <c r="P71" s="521">
        <v>40075.839999999997</v>
      </c>
      <c r="Q71" s="524">
        <f>N71-P71</f>
        <v>-28575.839999999997</v>
      </c>
      <c r="R71" s="671">
        <v>21000</v>
      </c>
      <c r="S71" s="525">
        <f t="shared" si="15"/>
        <v>-9500</v>
      </c>
      <c r="T71" s="526" t="s">
        <v>254</v>
      </c>
    </row>
    <row r="72" spans="1:23" s="267" customFormat="1" ht="12" customHeight="1">
      <c r="A72" s="420" t="s">
        <v>166</v>
      </c>
      <c r="B72" s="278">
        <v>250</v>
      </c>
      <c r="C72" s="278">
        <v>250</v>
      </c>
      <c r="D72" s="278">
        <v>250</v>
      </c>
      <c r="E72" s="278">
        <v>250</v>
      </c>
      <c r="F72" s="278">
        <v>250</v>
      </c>
      <c r="G72" s="278">
        <v>250</v>
      </c>
      <c r="H72" s="278">
        <v>250</v>
      </c>
      <c r="I72" s="278">
        <v>250</v>
      </c>
      <c r="J72" s="278">
        <v>250</v>
      </c>
      <c r="K72" s="278">
        <v>250</v>
      </c>
      <c r="L72" s="278">
        <v>250</v>
      </c>
      <c r="M72" s="654">
        <v>250</v>
      </c>
      <c r="N72" s="468">
        <f t="shared" si="14"/>
        <v>3000</v>
      </c>
      <c r="O72" s="397">
        <v>3000</v>
      </c>
      <c r="P72" s="271">
        <v>6621.17</v>
      </c>
      <c r="Q72" s="274">
        <f t="shared" ref="Q72:Q76" si="16">N72-P72</f>
        <v>-3621.17</v>
      </c>
      <c r="R72" s="669">
        <v>3000</v>
      </c>
      <c r="S72" s="398">
        <f t="shared" si="15"/>
        <v>0</v>
      </c>
      <c r="T72" s="500"/>
    </row>
    <row r="73" spans="1:23" s="267" customFormat="1" ht="13">
      <c r="A73" s="420" t="s">
        <v>168</v>
      </c>
      <c r="B73" s="278">
        <v>0</v>
      </c>
      <c r="C73" s="278">
        <v>0</v>
      </c>
      <c r="D73" s="278">
        <v>0</v>
      </c>
      <c r="E73" s="278">
        <v>0</v>
      </c>
      <c r="F73" s="278">
        <v>5000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5000</v>
      </c>
      <c r="M73" s="654">
        <v>0</v>
      </c>
      <c r="N73" s="468">
        <f t="shared" si="14"/>
        <v>10000</v>
      </c>
      <c r="O73" s="397">
        <v>10000</v>
      </c>
      <c r="P73" s="271">
        <v>2425.1099999999997</v>
      </c>
      <c r="Q73" s="274">
        <f t="shared" si="16"/>
        <v>7574.89</v>
      </c>
      <c r="R73" s="669">
        <v>10000</v>
      </c>
      <c r="S73" s="398">
        <f t="shared" si="15"/>
        <v>0</v>
      </c>
      <c r="T73" s="500"/>
    </row>
    <row r="74" spans="1:23" s="267" customFormat="1" ht="26">
      <c r="A74" s="420" t="s">
        <v>54</v>
      </c>
      <c r="B74" s="278">
        <v>1000</v>
      </c>
      <c r="C74" s="278">
        <v>1000</v>
      </c>
      <c r="D74" s="278">
        <v>1000</v>
      </c>
      <c r="E74" s="278">
        <v>2000</v>
      </c>
      <c r="F74" s="278">
        <v>2000</v>
      </c>
      <c r="G74" s="278">
        <v>2000</v>
      </c>
      <c r="H74" s="278">
        <v>3000</v>
      </c>
      <c r="I74" s="278">
        <v>3000</v>
      </c>
      <c r="J74" s="278">
        <v>3000</v>
      </c>
      <c r="K74" s="278">
        <v>4000</v>
      </c>
      <c r="L74" s="278">
        <v>4000</v>
      </c>
      <c r="M74" s="654">
        <v>4000</v>
      </c>
      <c r="N74" s="468">
        <f t="shared" si="14"/>
        <v>30000</v>
      </c>
      <c r="O74" s="397">
        <v>30000</v>
      </c>
      <c r="P74" s="271">
        <v>23942.32</v>
      </c>
      <c r="Q74" s="274">
        <f t="shared" si="16"/>
        <v>6057.68</v>
      </c>
      <c r="R74" s="669">
        <v>48000</v>
      </c>
      <c r="S74" s="398">
        <f t="shared" si="15"/>
        <v>-18000</v>
      </c>
      <c r="T74" s="500" t="s">
        <v>255</v>
      </c>
    </row>
    <row r="75" spans="1:23" s="267" customFormat="1" ht="13">
      <c r="A75" s="420" t="s">
        <v>56</v>
      </c>
      <c r="B75" s="278">
        <v>400</v>
      </c>
      <c r="C75" s="278">
        <v>400</v>
      </c>
      <c r="D75" s="278">
        <v>400</v>
      </c>
      <c r="E75" s="278">
        <v>400</v>
      </c>
      <c r="F75" s="278">
        <v>400</v>
      </c>
      <c r="G75" s="278">
        <v>400</v>
      </c>
      <c r="H75" s="278">
        <v>400</v>
      </c>
      <c r="I75" s="278">
        <v>400</v>
      </c>
      <c r="J75" s="278">
        <v>3000</v>
      </c>
      <c r="K75" s="278">
        <v>400</v>
      </c>
      <c r="L75" s="278">
        <v>400</v>
      </c>
      <c r="M75" s="654">
        <v>400</v>
      </c>
      <c r="N75" s="468">
        <f t="shared" si="14"/>
        <v>7400</v>
      </c>
      <c r="O75" s="397">
        <v>14200</v>
      </c>
      <c r="P75" s="271">
        <v>13154.77</v>
      </c>
      <c r="Q75" s="274">
        <f t="shared" si="16"/>
        <v>-5754.77</v>
      </c>
      <c r="R75" s="669">
        <v>14200</v>
      </c>
      <c r="S75" s="398">
        <f t="shared" si="15"/>
        <v>0</v>
      </c>
      <c r="T75" s="500"/>
    </row>
    <row r="76" spans="1:23" s="267" customFormat="1" ht="13">
      <c r="A76" s="423" t="s">
        <v>169</v>
      </c>
      <c r="B76" s="639">
        <f t="shared" ref="B76:M76" si="17">SUM(B63:B75)</f>
        <v>31250</v>
      </c>
      <c r="C76" s="469">
        <f t="shared" si="17"/>
        <v>18750</v>
      </c>
      <c r="D76" s="469">
        <f t="shared" si="17"/>
        <v>28750</v>
      </c>
      <c r="E76" s="469">
        <f t="shared" si="17"/>
        <v>19750</v>
      </c>
      <c r="F76" s="469">
        <f t="shared" si="17"/>
        <v>34750</v>
      </c>
      <c r="G76" s="469">
        <f t="shared" si="17"/>
        <v>19750</v>
      </c>
      <c r="H76" s="469">
        <f t="shared" si="17"/>
        <v>34750</v>
      </c>
      <c r="I76" s="469">
        <f t="shared" si="17"/>
        <v>24750</v>
      </c>
      <c r="J76" s="469">
        <f t="shared" si="17"/>
        <v>37350</v>
      </c>
      <c r="K76" s="469">
        <f t="shared" si="17"/>
        <v>36750</v>
      </c>
      <c r="L76" s="469">
        <f t="shared" si="17"/>
        <v>40750</v>
      </c>
      <c r="M76" s="660">
        <f t="shared" si="17"/>
        <v>25750</v>
      </c>
      <c r="N76" s="644">
        <f>SUM(B76:M76)</f>
        <v>353100</v>
      </c>
      <c r="O76" s="406">
        <f>SUM(O64:O75)</f>
        <v>158200</v>
      </c>
      <c r="P76" s="469">
        <v>137632.61999999997</v>
      </c>
      <c r="Q76" s="469">
        <f t="shared" si="16"/>
        <v>215467.38000000003</v>
      </c>
      <c r="R76" s="670">
        <v>209700</v>
      </c>
      <c r="S76" s="398">
        <f t="shared" si="15"/>
        <v>-51500</v>
      </c>
      <c r="T76" s="503"/>
      <c r="U76" s="369"/>
      <c r="V76" s="369"/>
      <c r="W76" s="369"/>
    </row>
    <row r="77" spans="1:23" s="267" customFormat="1" ht="10" customHeight="1">
      <c r="A77" s="419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656"/>
      <c r="N77" s="468"/>
      <c r="O77" s="397"/>
      <c r="P77" s="370"/>
      <c r="Q77" s="370"/>
      <c r="R77" s="370"/>
      <c r="S77" s="398">
        <f t="shared" si="15"/>
        <v>0</v>
      </c>
      <c r="T77" s="503"/>
      <c r="U77" s="369"/>
      <c r="V77" s="369"/>
      <c r="W77" s="369"/>
    </row>
    <row r="78" spans="1:23" s="267" customFormat="1" ht="13">
      <c r="A78" s="419" t="s">
        <v>170</v>
      </c>
      <c r="B78" s="278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654"/>
      <c r="N78" s="468"/>
      <c r="O78" s="397"/>
      <c r="P78" s="370"/>
      <c r="Q78" s="370"/>
      <c r="R78" s="370"/>
      <c r="S78" s="398">
        <f t="shared" si="15"/>
        <v>0</v>
      </c>
      <c r="T78" s="506"/>
      <c r="U78" s="268"/>
      <c r="V78" s="268"/>
      <c r="W78" s="369"/>
    </row>
    <row r="79" spans="1:23" s="267" customFormat="1" ht="13">
      <c r="A79" s="420" t="s">
        <v>67</v>
      </c>
      <c r="B79" s="278">
        <v>0</v>
      </c>
      <c r="C79" s="278">
        <v>0</v>
      </c>
      <c r="D79" s="278">
        <v>0</v>
      </c>
      <c r="E79" s="278">
        <v>0</v>
      </c>
      <c r="F79" s="278">
        <v>7500</v>
      </c>
      <c r="G79" s="278">
        <v>0</v>
      </c>
      <c r="H79" s="278">
        <v>7000</v>
      </c>
      <c r="I79" s="278">
        <v>0</v>
      </c>
      <c r="J79" s="278">
        <v>7000</v>
      </c>
      <c r="K79" s="278">
        <v>0</v>
      </c>
      <c r="L79" s="278">
        <v>0</v>
      </c>
      <c r="M79" s="654">
        <v>0</v>
      </c>
      <c r="N79" s="468">
        <f t="shared" ref="N79:N86" si="18">SUM(B79:M79)</f>
        <v>21500</v>
      </c>
      <c r="O79" s="397">
        <v>21500</v>
      </c>
      <c r="P79" s="271">
        <v>5000</v>
      </c>
      <c r="Q79" s="286">
        <f>N79-P79</f>
        <v>16500</v>
      </c>
      <c r="R79" s="397">
        <v>21500</v>
      </c>
      <c r="S79" s="398">
        <f t="shared" si="15"/>
        <v>0</v>
      </c>
      <c r="T79" s="506"/>
      <c r="U79" s="268"/>
      <c r="V79" s="268"/>
      <c r="W79" s="369"/>
    </row>
    <row r="80" spans="1:23" s="267" customFormat="1" ht="13">
      <c r="A80" s="420" t="s">
        <v>68</v>
      </c>
      <c r="B80" s="278">
        <v>0</v>
      </c>
      <c r="C80" s="278">
        <v>0</v>
      </c>
      <c r="D80" s="278">
        <v>0</v>
      </c>
      <c r="E80" s="278">
        <v>0</v>
      </c>
      <c r="F80" s="278">
        <v>1500</v>
      </c>
      <c r="G80" s="278">
        <v>0</v>
      </c>
      <c r="H80" s="278">
        <v>1500</v>
      </c>
      <c r="I80" s="278">
        <v>0</v>
      </c>
      <c r="J80" s="278">
        <v>1500</v>
      </c>
      <c r="K80" s="278">
        <v>0</v>
      </c>
      <c r="L80" s="278">
        <v>0</v>
      </c>
      <c r="M80" s="654">
        <v>0</v>
      </c>
      <c r="N80" s="468">
        <f t="shared" si="18"/>
        <v>4500</v>
      </c>
      <c r="O80" s="397">
        <v>4500</v>
      </c>
      <c r="P80" s="271">
        <v>0</v>
      </c>
      <c r="Q80" s="286">
        <f t="shared" ref="Q80:Q85" si="19">N80-P80</f>
        <v>4500</v>
      </c>
      <c r="R80" s="397">
        <v>4500</v>
      </c>
      <c r="S80" s="398">
        <f t="shared" si="15"/>
        <v>0</v>
      </c>
      <c r="T80" s="506"/>
      <c r="U80" s="268"/>
      <c r="V80" s="268"/>
      <c r="W80" s="369"/>
    </row>
    <row r="81" spans="1:23" s="267" customFormat="1" ht="13">
      <c r="A81" s="420" t="s">
        <v>69</v>
      </c>
      <c r="B81" s="278">
        <v>0</v>
      </c>
      <c r="C81" s="278">
        <v>0</v>
      </c>
      <c r="D81" s="278">
        <v>0</v>
      </c>
      <c r="E81" s="278">
        <v>0</v>
      </c>
      <c r="F81" s="278">
        <v>6000</v>
      </c>
      <c r="G81" s="278">
        <v>0</v>
      </c>
      <c r="H81" s="278">
        <v>6000</v>
      </c>
      <c r="I81" s="278">
        <v>0</v>
      </c>
      <c r="J81" s="278">
        <v>6000</v>
      </c>
      <c r="K81" s="278">
        <v>0</v>
      </c>
      <c r="L81" s="278">
        <v>0</v>
      </c>
      <c r="M81" s="654">
        <v>0</v>
      </c>
      <c r="N81" s="468">
        <f t="shared" si="18"/>
        <v>18000</v>
      </c>
      <c r="O81" s="397">
        <v>18000</v>
      </c>
      <c r="P81" s="271">
        <v>7500</v>
      </c>
      <c r="Q81" s="286">
        <f t="shared" si="19"/>
        <v>10500</v>
      </c>
      <c r="R81" s="397">
        <v>18000</v>
      </c>
      <c r="S81" s="398">
        <f t="shared" si="15"/>
        <v>0</v>
      </c>
      <c r="T81" s="506"/>
      <c r="U81" s="268"/>
      <c r="V81" s="268"/>
      <c r="W81" s="369"/>
    </row>
    <row r="82" spans="1:23" s="267" customFormat="1" ht="13">
      <c r="A82" s="420" t="s">
        <v>70</v>
      </c>
      <c r="B82" s="278">
        <v>0</v>
      </c>
      <c r="C82" s="278">
        <v>0</v>
      </c>
      <c r="D82" s="278">
        <v>0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654">
        <v>0</v>
      </c>
      <c r="N82" s="468">
        <f t="shared" si="18"/>
        <v>0</v>
      </c>
      <c r="O82" s="397">
        <v>0</v>
      </c>
      <c r="P82" s="271">
        <v>0</v>
      </c>
      <c r="Q82" s="286">
        <f t="shared" si="19"/>
        <v>0</v>
      </c>
      <c r="R82" s="397">
        <v>0</v>
      </c>
      <c r="S82" s="398">
        <f t="shared" si="15"/>
        <v>0</v>
      </c>
      <c r="T82" s="506"/>
      <c r="U82" s="268"/>
      <c r="V82" s="268"/>
      <c r="W82" s="369"/>
    </row>
    <row r="83" spans="1:23" s="267" customFormat="1" ht="13">
      <c r="A83" s="420" t="s">
        <v>71</v>
      </c>
      <c r="B83" s="278">
        <v>0</v>
      </c>
      <c r="C83" s="278">
        <v>0</v>
      </c>
      <c r="D83" s="278">
        <v>0</v>
      </c>
      <c r="E83" s="278">
        <v>0</v>
      </c>
      <c r="F83" s="278"/>
      <c r="G83" s="278">
        <v>4300</v>
      </c>
      <c r="H83" s="278">
        <v>0</v>
      </c>
      <c r="I83" s="278">
        <v>4300</v>
      </c>
      <c r="J83" s="278">
        <v>0</v>
      </c>
      <c r="K83" s="278">
        <v>4300</v>
      </c>
      <c r="L83" s="278">
        <v>0</v>
      </c>
      <c r="M83" s="654">
        <v>0</v>
      </c>
      <c r="N83" s="468">
        <f t="shared" si="18"/>
        <v>12900</v>
      </c>
      <c r="O83" s="397">
        <v>12900</v>
      </c>
      <c r="P83" s="271">
        <v>0</v>
      </c>
      <c r="Q83" s="286">
        <f t="shared" si="19"/>
        <v>12900</v>
      </c>
      <c r="R83" s="397">
        <v>12900</v>
      </c>
      <c r="S83" s="398">
        <f t="shared" si="15"/>
        <v>0</v>
      </c>
      <c r="T83" s="506"/>
      <c r="U83" s="268"/>
      <c r="V83" s="268"/>
      <c r="W83" s="369"/>
    </row>
    <row r="84" spans="1:23" s="267" customFormat="1" ht="13">
      <c r="A84" s="420" t="s">
        <v>72</v>
      </c>
      <c r="B84" s="278">
        <v>0</v>
      </c>
      <c r="C84" s="278">
        <v>0</v>
      </c>
      <c r="D84" s="278">
        <v>0</v>
      </c>
      <c r="E84" s="278">
        <v>0</v>
      </c>
      <c r="F84" s="278">
        <v>8400</v>
      </c>
      <c r="G84" s="278">
        <v>0</v>
      </c>
      <c r="H84" s="278">
        <v>8400</v>
      </c>
      <c r="I84" s="278">
        <v>0</v>
      </c>
      <c r="J84" s="278">
        <v>8400</v>
      </c>
      <c r="K84" s="278">
        <v>0</v>
      </c>
      <c r="L84" s="278">
        <v>0</v>
      </c>
      <c r="M84" s="654">
        <v>0</v>
      </c>
      <c r="N84" s="468">
        <f t="shared" si="18"/>
        <v>25200</v>
      </c>
      <c r="O84" s="397">
        <v>25200</v>
      </c>
      <c r="P84" s="271">
        <v>0</v>
      </c>
      <c r="Q84" s="286">
        <f t="shared" si="19"/>
        <v>25200</v>
      </c>
      <c r="R84" s="397">
        <v>25200</v>
      </c>
      <c r="S84" s="398">
        <f t="shared" si="15"/>
        <v>0</v>
      </c>
      <c r="T84" s="506"/>
      <c r="U84" s="268"/>
      <c r="V84" s="268"/>
      <c r="W84" s="369"/>
    </row>
    <row r="85" spans="1:23" s="267" customFormat="1" ht="13">
      <c r="A85" s="420" t="s">
        <v>73</v>
      </c>
      <c r="B85" s="278">
        <v>0</v>
      </c>
      <c r="C85" s="278">
        <v>0</v>
      </c>
      <c r="D85" s="278">
        <v>0</v>
      </c>
      <c r="E85" s="278">
        <v>0</v>
      </c>
      <c r="F85" s="278">
        <v>9000</v>
      </c>
      <c r="G85" s="278">
        <v>0</v>
      </c>
      <c r="H85" s="278">
        <v>9000</v>
      </c>
      <c r="I85" s="278">
        <v>0</v>
      </c>
      <c r="J85" s="278">
        <v>9000</v>
      </c>
      <c r="K85" s="278">
        <v>0</v>
      </c>
      <c r="L85" s="278">
        <v>0</v>
      </c>
      <c r="M85" s="654">
        <v>0</v>
      </c>
      <c r="N85" s="468">
        <f t="shared" si="18"/>
        <v>27000</v>
      </c>
      <c r="O85" s="397">
        <v>27000</v>
      </c>
      <c r="P85" s="271">
        <v>15442</v>
      </c>
      <c r="Q85" s="286">
        <f t="shared" si="19"/>
        <v>11558</v>
      </c>
      <c r="R85" s="397">
        <v>27000</v>
      </c>
      <c r="S85" s="398">
        <f t="shared" si="15"/>
        <v>0</v>
      </c>
      <c r="T85" s="503"/>
      <c r="U85" s="369"/>
      <c r="V85" s="369"/>
      <c r="W85" s="369"/>
    </row>
    <row r="86" spans="1:23" s="267" customFormat="1" ht="13">
      <c r="A86" s="419" t="s">
        <v>171</v>
      </c>
      <c r="B86" s="639">
        <f>SUM(B79:B85)</f>
        <v>0</v>
      </c>
      <c r="C86" s="469">
        <f t="shared" ref="C86:M86" si="20">SUM(C79:C85)</f>
        <v>0</v>
      </c>
      <c r="D86" s="469">
        <f t="shared" si="20"/>
        <v>0</v>
      </c>
      <c r="E86" s="469">
        <f t="shared" si="20"/>
        <v>0</v>
      </c>
      <c r="F86" s="469">
        <f t="shared" si="20"/>
        <v>32400</v>
      </c>
      <c r="G86" s="469">
        <f t="shared" si="20"/>
        <v>4300</v>
      </c>
      <c r="H86" s="469">
        <f t="shared" si="20"/>
        <v>31900</v>
      </c>
      <c r="I86" s="469">
        <f t="shared" si="20"/>
        <v>4300</v>
      </c>
      <c r="J86" s="469">
        <f t="shared" si="20"/>
        <v>31900</v>
      </c>
      <c r="K86" s="469">
        <f t="shared" si="20"/>
        <v>4300</v>
      </c>
      <c r="L86" s="469">
        <f t="shared" si="20"/>
        <v>0</v>
      </c>
      <c r="M86" s="660">
        <f t="shared" si="20"/>
        <v>0</v>
      </c>
      <c r="N86" s="467">
        <f t="shared" si="18"/>
        <v>109100</v>
      </c>
      <c r="O86" s="399">
        <f>0+SUM(O79:O85)</f>
        <v>109100</v>
      </c>
      <c r="P86" s="469">
        <v>27942</v>
      </c>
      <c r="Q86" s="469">
        <f>N86-P86</f>
        <v>81158</v>
      </c>
      <c r="R86" s="573">
        <f>0+SUM(R79:R85)</f>
        <v>109100</v>
      </c>
      <c r="S86" s="398">
        <f t="shared" si="15"/>
        <v>0</v>
      </c>
      <c r="T86" s="503"/>
      <c r="U86" s="369"/>
      <c r="V86" s="369"/>
      <c r="W86" s="369"/>
    </row>
    <row r="87" spans="1:23" s="267" customFormat="1" ht="6" hidden="1" customHeight="1">
      <c r="A87" s="419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656"/>
      <c r="N87" s="468"/>
      <c r="O87" s="397"/>
      <c r="P87" s="370"/>
      <c r="Q87" s="370"/>
      <c r="R87" s="397"/>
      <c r="S87" s="398">
        <f t="shared" si="15"/>
        <v>0</v>
      </c>
      <c r="T87" s="503"/>
      <c r="U87" s="369"/>
      <c r="V87" s="369"/>
      <c r="W87" s="369"/>
    </row>
    <row r="88" spans="1:23" s="267" customFormat="1" ht="13" hidden="1">
      <c r="A88" s="424" t="s">
        <v>172</v>
      </c>
      <c r="B88" s="278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654"/>
      <c r="N88" s="468"/>
      <c r="O88" s="397"/>
      <c r="P88" s="370"/>
      <c r="Q88" s="370"/>
      <c r="R88" s="397"/>
      <c r="S88" s="398">
        <f t="shared" si="15"/>
        <v>0</v>
      </c>
      <c r="T88" s="503"/>
      <c r="U88" s="369"/>
      <c r="V88" s="369"/>
      <c r="W88" s="369"/>
    </row>
    <row r="89" spans="1:23" s="267" customFormat="1" ht="13" hidden="1">
      <c r="A89" s="425" t="s">
        <v>173</v>
      </c>
      <c r="B89" s="278" t="e">
        <f>#REF!-#REF!</f>
        <v>#REF!</v>
      </c>
      <c r="C89" s="271" t="e">
        <f>#REF!-#REF!</f>
        <v>#REF!</v>
      </c>
      <c r="D89" s="271" t="e">
        <f>B89-#REF!</f>
        <v>#REF!</v>
      </c>
      <c r="E89" s="271" t="e">
        <f t="shared" ref="E89:M89" si="21">C89-B89</f>
        <v>#REF!</v>
      </c>
      <c r="F89" s="271" t="e">
        <f t="shared" si="21"/>
        <v>#REF!</v>
      </c>
      <c r="G89" s="271" t="e">
        <f t="shared" si="21"/>
        <v>#REF!</v>
      </c>
      <c r="H89" s="271" t="e">
        <f t="shared" si="21"/>
        <v>#REF!</v>
      </c>
      <c r="I89" s="271" t="e">
        <f t="shared" si="21"/>
        <v>#REF!</v>
      </c>
      <c r="J89" s="271" t="e">
        <f t="shared" si="21"/>
        <v>#REF!</v>
      </c>
      <c r="K89" s="271" t="e">
        <f t="shared" si="21"/>
        <v>#REF!</v>
      </c>
      <c r="L89" s="271" t="e">
        <f t="shared" si="21"/>
        <v>#REF!</v>
      </c>
      <c r="M89" s="654" t="e">
        <f t="shared" si="21"/>
        <v>#REF!</v>
      </c>
      <c r="N89" s="468"/>
      <c r="O89" s="397"/>
      <c r="P89" s="370"/>
      <c r="Q89" s="370"/>
      <c r="R89" s="397"/>
      <c r="S89" s="398">
        <f t="shared" si="15"/>
        <v>0</v>
      </c>
      <c r="T89" s="503"/>
      <c r="U89" s="369"/>
      <c r="V89" s="369"/>
      <c r="W89" s="369"/>
    </row>
    <row r="90" spans="1:23" s="267" customFormat="1" ht="13" hidden="1">
      <c r="A90" s="425" t="s">
        <v>174</v>
      </c>
      <c r="B90" s="278">
        <f>0</f>
        <v>0</v>
      </c>
      <c r="C90" s="271">
        <f>0</f>
        <v>0</v>
      </c>
      <c r="D90" s="271">
        <f>0</f>
        <v>0</v>
      </c>
      <c r="E90" s="271">
        <f>0</f>
        <v>0</v>
      </c>
      <c r="F90" s="271">
        <f>0</f>
        <v>0</v>
      </c>
      <c r="G90" s="271">
        <f>0</f>
        <v>0</v>
      </c>
      <c r="H90" s="271">
        <f>0</f>
        <v>0</v>
      </c>
      <c r="I90" s="271">
        <f>0</f>
        <v>0</v>
      </c>
      <c r="J90" s="271">
        <f>0</f>
        <v>0</v>
      </c>
      <c r="K90" s="271">
        <v>0</v>
      </c>
      <c r="L90" s="271">
        <f>0</f>
        <v>0</v>
      </c>
      <c r="M90" s="654">
        <f>0</f>
        <v>0</v>
      </c>
      <c r="N90" s="468"/>
      <c r="O90" s="397"/>
      <c r="P90" s="370"/>
      <c r="Q90" s="370"/>
      <c r="R90" s="397"/>
      <c r="S90" s="398">
        <f t="shared" si="15"/>
        <v>0</v>
      </c>
      <c r="T90" s="503"/>
      <c r="U90" s="369"/>
      <c r="V90" s="369"/>
      <c r="W90" s="369"/>
    </row>
    <row r="91" spans="1:23" s="267" customFormat="1" ht="13" hidden="1">
      <c r="A91" s="424" t="s">
        <v>175</v>
      </c>
      <c r="B91" s="278" t="e">
        <f>SUM(B89:B90)</f>
        <v>#REF!</v>
      </c>
      <c r="C91" s="271" t="e">
        <f t="shared" ref="C91:M91" si="22">SUM(C89:C90)</f>
        <v>#REF!</v>
      </c>
      <c r="D91" s="271" t="e">
        <f t="shared" si="22"/>
        <v>#REF!</v>
      </c>
      <c r="E91" s="271" t="e">
        <f t="shared" si="22"/>
        <v>#REF!</v>
      </c>
      <c r="F91" s="271" t="e">
        <f t="shared" si="22"/>
        <v>#REF!</v>
      </c>
      <c r="G91" s="271" t="e">
        <f t="shared" si="22"/>
        <v>#REF!</v>
      </c>
      <c r="H91" s="271" t="e">
        <f t="shared" si="22"/>
        <v>#REF!</v>
      </c>
      <c r="I91" s="271" t="e">
        <f t="shared" si="22"/>
        <v>#REF!</v>
      </c>
      <c r="J91" s="271" t="e">
        <f t="shared" si="22"/>
        <v>#REF!</v>
      </c>
      <c r="K91" s="271" t="e">
        <f t="shared" si="22"/>
        <v>#REF!</v>
      </c>
      <c r="L91" s="271" t="e">
        <f t="shared" si="22"/>
        <v>#REF!</v>
      </c>
      <c r="M91" s="654" t="e">
        <f t="shared" si="22"/>
        <v>#REF!</v>
      </c>
      <c r="N91" s="468"/>
      <c r="O91" s="397"/>
      <c r="P91" s="370"/>
      <c r="Q91" s="370"/>
      <c r="R91" s="397"/>
      <c r="S91" s="398">
        <f t="shared" si="15"/>
        <v>0</v>
      </c>
      <c r="T91" s="503"/>
      <c r="U91" s="369"/>
      <c r="V91" s="369"/>
      <c r="W91" s="369"/>
    </row>
    <row r="92" spans="1:23" s="267" customFormat="1" ht="15" customHeight="1">
      <c r="A92" s="419"/>
      <c r="B92" s="278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654"/>
      <c r="N92" s="468"/>
      <c r="O92" s="397"/>
      <c r="P92" s="370"/>
      <c r="Q92" s="370"/>
      <c r="R92" s="397"/>
      <c r="S92" s="398">
        <f t="shared" si="15"/>
        <v>0</v>
      </c>
      <c r="T92" s="503"/>
      <c r="U92" s="369"/>
      <c r="V92" s="369"/>
      <c r="W92" s="369"/>
    </row>
    <row r="93" spans="1:23" s="267" customFormat="1" ht="13">
      <c r="A93" s="419" t="s">
        <v>176</v>
      </c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654"/>
      <c r="N93" s="468"/>
      <c r="O93" s="397"/>
      <c r="P93" s="133"/>
      <c r="Q93" s="133"/>
      <c r="R93" s="397"/>
      <c r="S93" s="398">
        <f t="shared" si="15"/>
        <v>0</v>
      </c>
      <c r="T93" s="500"/>
    </row>
    <row r="94" spans="1:23" s="267" customFormat="1" ht="13">
      <c r="A94" s="420" t="s">
        <v>177</v>
      </c>
      <c r="B94" s="382">
        <v>1000</v>
      </c>
      <c r="C94" s="675">
        <v>0</v>
      </c>
      <c r="D94" s="675">
        <v>0</v>
      </c>
      <c r="E94" s="675">
        <v>0</v>
      </c>
      <c r="F94" s="675">
        <v>0</v>
      </c>
      <c r="G94" s="382">
        <v>1000</v>
      </c>
      <c r="H94" s="382">
        <v>1000</v>
      </c>
      <c r="I94" s="382">
        <v>1000</v>
      </c>
      <c r="J94" s="382">
        <v>5000</v>
      </c>
      <c r="K94" s="382">
        <v>1000</v>
      </c>
      <c r="L94" s="382">
        <v>1000</v>
      </c>
      <c r="M94" s="661">
        <v>1000</v>
      </c>
      <c r="N94" s="645">
        <f t="shared" ref="N94:N98" si="23">SUM(B94:M94)</f>
        <v>12000</v>
      </c>
      <c r="O94" s="397">
        <v>16000</v>
      </c>
      <c r="P94" s="271">
        <v>10934</v>
      </c>
      <c r="Q94" s="274">
        <f>N94-P94</f>
        <v>1066</v>
      </c>
      <c r="R94" s="397">
        <v>34200</v>
      </c>
      <c r="S94" s="398">
        <f t="shared" si="15"/>
        <v>-18200</v>
      </c>
      <c r="T94" s="500"/>
    </row>
    <row r="95" spans="1:23" s="267" customFormat="1" ht="13">
      <c r="A95" s="420" t="s">
        <v>178</v>
      </c>
      <c r="B95" s="278">
        <v>800</v>
      </c>
      <c r="C95" s="278">
        <v>800</v>
      </c>
      <c r="D95" s="278">
        <v>800</v>
      </c>
      <c r="E95" s="278">
        <v>800</v>
      </c>
      <c r="F95" s="278">
        <v>800</v>
      </c>
      <c r="G95" s="278">
        <v>800</v>
      </c>
      <c r="H95" s="278">
        <v>800</v>
      </c>
      <c r="I95" s="278">
        <v>800</v>
      </c>
      <c r="J95" s="278">
        <v>800</v>
      </c>
      <c r="K95" s="278">
        <v>2800</v>
      </c>
      <c r="L95" s="278">
        <v>2800</v>
      </c>
      <c r="M95" s="654">
        <v>2800</v>
      </c>
      <c r="N95" s="468">
        <f t="shared" si="23"/>
        <v>15600</v>
      </c>
      <c r="O95" s="397">
        <v>15600</v>
      </c>
      <c r="P95" s="271">
        <v>40387.379999999997</v>
      </c>
      <c r="Q95" s="274">
        <f>N95-P95</f>
        <v>-24787.379999999997</v>
      </c>
      <c r="R95" s="397">
        <v>52000</v>
      </c>
      <c r="S95" s="398">
        <f t="shared" si="15"/>
        <v>-36400</v>
      </c>
      <c r="T95" s="500"/>
    </row>
    <row r="96" spans="1:23" s="267" customFormat="1" ht="13">
      <c r="A96" s="420" t="s">
        <v>180</v>
      </c>
      <c r="B96" s="278">
        <v>0</v>
      </c>
      <c r="C96" s="278">
        <v>0</v>
      </c>
      <c r="D96" s="278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654">
        <v>0</v>
      </c>
      <c r="N96" s="468">
        <f t="shared" si="23"/>
        <v>0</v>
      </c>
      <c r="O96" s="397">
        <v>0</v>
      </c>
      <c r="P96" s="271"/>
      <c r="Q96" s="274"/>
      <c r="R96" s="397">
        <v>0</v>
      </c>
      <c r="S96" s="398">
        <f t="shared" si="15"/>
        <v>0</v>
      </c>
      <c r="T96" s="500"/>
    </row>
    <row r="97" spans="1:20" s="267" customFormat="1" ht="13">
      <c r="A97" s="420" t="s">
        <v>181</v>
      </c>
      <c r="B97" s="278">
        <v>0</v>
      </c>
      <c r="C97" s="278">
        <v>0</v>
      </c>
      <c r="D97" s="278">
        <v>0</v>
      </c>
      <c r="E97" s="278">
        <v>0</v>
      </c>
      <c r="F97" s="278">
        <v>0</v>
      </c>
      <c r="G97" s="278">
        <v>0</v>
      </c>
      <c r="H97" s="278">
        <v>0</v>
      </c>
      <c r="I97" s="278">
        <v>0</v>
      </c>
      <c r="J97" s="278">
        <v>0</v>
      </c>
      <c r="K97" s="278">
        <v>0</v>
      </c>
      <c r="L97" s="278">
        <v>0</v>
      </c>
      <c r="M97" s="654">
        <v>0</v>
      </c>
      <c r="N97" s="468">
        <f t="shared" si="23"/>
        <v>0</v>
      </c>
      <c r="O97" s="397">
        <v>0</v>
      </c>
      <c r="P97" s="271"/>
      <c r="Q97" s="274"/>
      <c r="R97" s="397">
        <v>0</v>
      </c>
      <c r="S97" s="398">
        <f t="shared" si="15"/>
        <v>0</v>
      </c>
      <c r="T97" s="500"/>
    </row>
    <row r="98" spans="1:20" s="267" customFormat="1" ht="13">
      <c r="A98" s="420" t="s">
        <v>182</v>
      </c>
      <c r="B98" s="278">
        <v>1000</v>
      </c>
      <c r="C98" s="278">
        <v>1000</v>
      </c>
      <c r="D98" s="278">
        <v>1000</v>
      </c>
      <c r="E98" s="278">
        <v>1000</v>
      </c>
      <c r="F98" s="278">
        <v>1500</v>
      </c>
      <c r="G98" s="278">
        <v>1000</v>
      </c>
      <c r="H98" s="278">
        <v>1000</v>
      </c>
      <c r="I98" s="278">
        <v>1000</v>
      </c>
      <c r="J98" s="278">
        <v>1000</v>
      </c>
      <c r="K98" s="278">
        <v>1000</v>
      </c>
      <c r="L98" s="278">
        <v>1000</v>
      </c>
      <c r="M98" s="654">
        <v>1000</v>
      </c>
      <c r="N98" s="468">
        <f t="shared" si="23"/>
        <v>12500</v>
      </c>
      <c r="O98" s="397">
        <v>12500</v>
      </c>
      <c r="P98" s="271"/>
      <c r="Q98" s="274"/>
      <c r="R98" s="397">
        <v>12500</v>
      </c>
      <c r="S98" s="398">
        <f t="shared" si="15"/>
        <v>0</v>
      </c>
      <c r="T98" s="500"/>
    </row>
    <row r="99" spans="1:20" s="267" customFormat="1" ht="13">
      <c r="A99" s="420" t="s">
        <v>184</v>
      </c>
      <c r="B99" s="278"/>
      <c r="C99" s="278"/>
      <c r="D99" s="278"/>
      <c r="E99" s="278"/>
      <c r="F99" s="278"/>
      <c r="G99" s="278"/>
      <c r="H99" s="271"/>
      <c r="I99" s="271"/>
      <c r="J99" s="271"/>
      <c r="K99" s="271"/>
      <c r="L99" s="271"/>
      <c r="M99" s="654"/>
      <c r="N99" s="646"/>
      <c r="O99" s="397"/>
      <c r="P99" s="271"/>
      <c r="Q99" s="274">
        <f>N99-P99</f>
        <v>0</v>
      </c>
      <c r="R99" s="397"/>
      <c r="S99" s="398">
        <f t="shared" si="15"/>
        <v>0</v>
      </c>
      <c r="T99" s="500"/>
    </row>
    <row r="100" spans="1:20" s="267" customFormat="1" ht="13">
      <c r="A100" s="420" t="s">
        <v>186</v>
      </c>
      <c r="B100" s="367">
        <v>0</v>
      </c>
      <c r="C100" s="278">
        <v>0</v>
      </c>
      <c r="D100" s="278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78">
        <v>0</v>
      </c>
      <c r="K100" s="278">
        <v>3500</v>
      </c>
      <c r="L100" s="278">
        <v>0</v>
      </c>
      <c r="M100" s="654">
        <v>0</v>
      </c>
      <c r="N100" s="468">
        <f>SUM(B100:M100)</f>
        <v>3500</v>
      </c>
      <c r="O100" s="397">
        <v>3500</v>
      </c>
      <c r="P100" s="271">
        <v>0</v>
      </c>
      <c r="Q100" s="274">
        <f>N100-P100</f>
        <v>3500</v>
      </c>
      <c r="R100" s="397">
        <v>7000</v>
      </c>
      <c r="S100" s="398">
        <f t="shared" si="15"/>
        <v>-3500</v>
      </c>
      <c r="T100" s="500"/>
    </row>
    <row r="101" spans="1:20" s="267" customFormat="1" ht="13">
      <c r="A101" s="420" t="s">
        <v>187</v>
      </c>
      <c r="B101" s="367">
        <v>0</v>
      </c>
      <c r="C101" s="278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278">
        <v>1500</v>
      </c>
      <c r="L101" s="278">
        <v>0</v>
      </c>
      <c r="M101" s="654">
        <v>0</v>
      </c>
      <c r="N101" s="468">
        <f t="shared" ref="N101:N107" si="24">SUM(B101:M101)</f>
        <v>1500</v>
      </c>
      <c r="O101" s="397">
        <v>1500</v>
      </c>
      <c r="P101" s="271">
        <v>11057.409999999998</v>
      </c>
      <c r="Q101" s="274">
        <f>N101-P101</f>
        <v>-9557.409999999998</v>
      </c>
      <c r="R101" s="397">
        <v>3000</v>
      </c>
      <c r="S101" s="398">
        <f t="shared" si="15"/>
        <v>-1500</v>
      </c>
      <c r="T101" s="500"/>
    </row>
    <row r="102" spans="1:20" s="267" customFormat="1" ht="13">
      <c r="A102" s="420" t="s">
        <v>188</v>
      </c>
      <c r="B102" s="367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278">
        <v>1000</v>
      </c>
      <c r="L102" s="278">
        <v>0</v>
      </c>
      <c r="M102" s="654">
        <v>0</v>
      </c>
      <c r="N102" s="468">
        <f>SUM(B102:M102)</f>
        <v>1000</v>
      </c>
      <c r="O102" s="397">
        <v>1000</v>
      </c>
      <c r="P102" s="271">
        <v>5082.8500000000004</v>
      </c>
      <c r="Q102" s="274">
        <f>N102-P102</f>
        <v>-4082.8500000000004</v>
      </c>
      <c r="R102" s="397">
        <v>2000</v>
      </c>
      <c r="S102" s="398">
        <f t="shared" si="15"/>
        <v>-1000</v>
      </c>
      <c r="T102" s="500"/>
    </row>
    <row r="103" spans="1:20" s="267" customFormat="1" ht="13">
      <c r="A103" s="420" t="s">
        <v>189</v>
      </c>
      <c r="B103" s="367">
        <v>0</v>
      </c>
      <c r="C103" s="278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278">
        <v>1000</v>
      </c>
      <c r="L103" s="278">
        <v>0</v>
      </c>
      <c r="M103" s="654">
        <v>0</v>
      </c>
      <c r="N103" s="468">
        <f t="shared" si="24"/>
        <v>1000</v>
      </c>
      <c r="O103" s="397">
        <v>1000</v>
      </c>
      <c r="P103" s="271">
        <v>7928.23</v>
      </c>
      <c r="Q103" s="274">
        <f>N103-P103</f>
        <v>-6928.23</v>
      </c>
      <c r="R103" s="397">
        <v>2000</v>
      </c>
      <c r="S103" s="398">
        <f t="shared" si="15"/>
        <v>-1000</v>
      </c>
      <c r="T103" s="500"/>
    </row>
    <row r="104" spans="1:20" s="267" customFormat="1" ht="13">
      <c r="A104" s="420" t="s">
        <v>190</v>
      </c>
      <c r="B104" s="367">
        <v>0</v>
      </c>
      <c r="C104" s="278">
        <v>0</v>
      </c>
      <c r="D104" s="278">
        <v>0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K104" s="278">
        <v>2000</v>
      </c>
      <c r="L104" s="278">
        <v>0</v>
      </c>
      <c r="M104" s="654">
        <v>0</v>
      </c>
      <c r="N104" s="468">
        <f t="shared" si="24"/>
        <v>2000</v>
      </c>
      <c r="O104" s="397">
        <v>2000</v>
      </c>
      <c r="P104" s="271"/>
      <c r="Q104" s="274"/>
      <c r="R104" s="397">
        <v>4000</v>
      </c>
      <c r="S104" s="398">
        <f t="shared" si="15"/>
        <v>-2000</v>
      </c>
      <c r="T104" s="500"/>
    </row>
    <row r="105" spans="1:20" s="267" customFormat="1" ht="13">
      <c r="A105" s="426" t="s">
        <v>191</v>
      </c>
      <c r="B105" s="367">
        <v>0</v>
      </c>
      <c r="C105" s="278">
        <v>0</v>
      </c>
      <c r="D105" s="278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1000</v>
      </c>
      <c r="L105" s="278">
        <v>0</v>
      </c>
      <c r="M105" s="654">
        <v>0</v>
      </c>
      <c r="N105" s="468">
        <f t="shared" si="24"/>
        <v>1000</v>
      </c>
      <c r="O105" s="397">
        <v>1000</v>
      </c>
      <c r="P105" s="271"/>
      <c r="Q105" s="274"/>
      <c r="R105" s="397">
        <v>2000</v>
      </c>
      <c r="S105" s="398">
        <f t="shared" si="15"/>
        <v>-1000</v>
      </c>
      <c r="T105" s="500"/>
    </row>
    <row r="106" spans="1:20" s="267" customFormat="1" ht="13">
      <c r="A106" s="577" t="s">
        <v>192</v>
      </c>
      <c r="B106" s="367">
        <v>200</v>
      </c>
      <c r="C106" s="278">
        <v>200</v>
      </c>
      <c r="D106" s="278">
        <v>200</v>
      </c>
      <c r="E106" s="278">
        <v>200</v>
      </c>
      <c r="F106" s="278">
        <v>200</v>
      </c>
      <c r="G106" s="278">
        <v>200</v>
      </c>
      <c r="H106" s="278">
        <v>200</v>
      </c>
      <c r="I106" s="278">
        <v>200</v>
      </c>
      <c r="J106" s="278">
        <v>200</v>
      </c>
      <c r="K106" s="278">
        <v>200</v>
      </c>
      <c r="L106" s="278">
        <v>200</v>
      </c>
      <c r="M106" s="654">
        <v>200</v>
      </c>
      <c r="N106" s="468">
        <f>SUM(B106:M106)</f>
        <v>2400</v>
      </c>
      <c r="O106" s="397">
        <v>2400</v>
      </c>
      <c r="P106" s="271"/>
      <c r="Q106" s="274"/>
      <c r="R106" s="397">
        <v>2400</v>
      </c>
      <c r="S106" s="398">
        <f t="shared" si="15"/>
        <v>0</v>
      </c>
      <c r="T106" s="500"/>
    </row>
    <row r="107" spans="1:20" s="267" customFormat="1" ht="13">
      <c r="A107" s="577" t="s">
        <v>193</v>
      </c>
      <c r="B107" s="676">
        <v>0</v>
      </c>
      <c r="C107" s="677">
        <v>0</v>
      </c>
      <c r="D107" s="677">
        <v>0</v>
      </c>
      <c r="E107" s="677">
        <v>0</v>
      </c>
      <c r="F107" s="677">
        <v>0</v>
      </c>
      <c r="G107" s="677">
        <v>0</v>
      </c>
      <c r="H107" s="278">
        <v>2000</v>
      </c>
      <c r="I107" s="278">
        <v>2000</v>
      </c>
      <c r="J107" s="278">
        <v>2000</v>
      </c>
      <c r="K107" s="278">
        <v>2000</v>
      </c>
      <c r="L107" s="278">
        <v>2000</v>
      </c>
      <c r="M107" s="654">
        <v>2000</v>
      </c>
      <c r="N107" s="468">
        <f t="shared" si="24"/>
        <v>12000</v>
      </c>
      <c r="O107" s="397">
        <v>22000</v>
      </c>
      <c r="P107" s="278"/>
      <c r="Q107" s="286"/>
      <c r="R107" s="397">
        <v>24000</v>
      </c>
      <c r="S107" s="398">
        <f t="shared" si="15"/>
        <v>-2000</v>
      </c>
      <c r="T107" s="500"/>
    </row>
    <row r="108" spans="1:20" s="267" customFormat="1" ht="13">
      <c r="A108" s="577" t="s">
        <v>194</v>
      </c>
      <c r="B108" s="676">
        <v>0</v>
      </c>
      <c r="C108" s="677">
        <v>0</v>
      </c>
      <c r="D108" s="677">
        <v>0</v>
      </c>
      <c r="E108" s="677">
        <v>0</v>
      </c>
      <c r="F108" s="677">
        <v>0</v>
      </c>
      <c r="G108" s="677">
        <v>0</v>
      </c>
      <c r="H108" s="278">
        <v>2000</v>
      </c>
      <c r="I108" s="278">
        <v>2000</v>
      </c>
      <c r="J108" s="278">
        <v>3000</v>
      </c>
      <c r="K108" s="278">
        <v>6000</v>
      </c>
      <c r="L108" s="278">
        <v>4000</v>
      </c>
      <c r="M108" s="654">
        <v>5000</v>
      </c>
      <c r="N108" s="468">
        <f>SUM(B108:M108)</f>
        <v>22000</v>
      </c>
      <c r="O108" s="397">
        <v>35000</v>
      </c>
      <c r="P108" s="278"/>
      <c r="Q108" s="286"/>
      <c r="R108" s="397">
        <v>64000</v>
      </c>
      <c r="S108" s="398">
        <f t="shared" si="15"/>
        <v>-29000</v>
      </c>
      <c r="T108" s="500"/>
    </row>
    <row r="109" spans="1:20" s="267" customFormat="1" ht="13">
      <c r="A109" s="419" t="s">
        <v>92</v>
      </c>
      <c r="B109" s="469">
        <f t="shared" ref="B109:M109" si="25">SUM(B94:B108)</f>
        <v>3000</v>
      </c>
      <c r="C109" s="272">
        <f t="shared" si="25"/>
        <v>2000</v>
      </c>
      <c r="D109" s="469">
        <f t="shared" si="25"/>
        <v>2000</v>
      </c>
      <c r="E109" s="469">
        <f t="shared" si="25"/>
        <v>2000</v>
      </c>
      <c r="F109" s="469">
        <f t="shared" si="25"/>
        <v>2500</v>
      </c>
      <c r="G109" s="469">
        <f t="shared" si="25"/>
        <v>3000</v>
      </c>
      <c r="H109" s="469">
        <f t="shared" si="25"/>
        <v>7000</v>
      </c>
      <c r="I109" s="469">
        <f t="shared" si="25"/>
        <v>7000</v>
      </c>
      <c r="J109" s="469">
        <f t="shared" si="25"/>
        <v>12000</v>
      </c>
      <c r="K109" s="469">
        <f t="shared" si="25"/>
        <v>23000</v>
      </c>
      <c r="L109" s="469">
        <f t="shared" si="25"/>
        <v>11000</v>
      </c>
      <c r="M109" s="660">
        <f t="shared" si="25"/>
        <v>12000</v>
      </c>
      <c r="N109" s="641">
        <f>SUM(B109:M109)</f>
        <v>86500</v>
      </c>
      <c r="O109" s="440">
        <f>SUM(O92:O108)</f>
        <v>113500</v>
      </c>
      <c r="P109" s="276">
        <v>80414.87</v>
      </c>
      <c r="Q109" s="276">
        <f>N109-P109</f>
        <v>6085.1300000000047</v>
      </c>
      <c r="R109" s="440">
        <f>SUM(R92:R108)</f>
        <v>209100</v>
      </c>
      <c r="S109" s="398">
        <f t="shared" si="15"/>
        <v>-95600</v>
      </c>
      <c r="T109" s="500"/>
    </row>
    <row r="110" spans="1:20" s="267" customFormat="1" ht="13" customHeight="1">
      <c r="A110" s="419"/>
      <c r="B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656"/>
      <c r="N110" s="468"/>
      <c r="O110" s="397"/>
      <c r="P110" s="133"/>
      <c r="Q110" s="133"/>
      <c r="R110" s="397"/>
      <c r="S110" s="398">
        <f t="shared" si="15"/>
        <v>0</v>
      </c>
      <c r="T110" s="500"/>
    </row>
    <row r="111" spans="1:20" s="267" customFormat="1" ht="14" customHeight="1">
      <c r="A111" s="419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656"/>
      <c r="N111" s="468"/>
      <c r="O111" s="397"/>
      <c r="P111" s="133"/>
      <c r="Q111" s="133"/>
      <c r="R111" s="397"/>
      <c r="S111" s="398">
        <f t="shared" si="15"/>
        <v>0</v>
      </c>
      <c r="T111" s="500"/>
    </row>
    <row r="112" spans="1:20" s="267" customFormat="1" ht="13">
      <c r="A112" s="419" t="s">
        <v>195</v>
      </c>
      <c r="B112" s="278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654"/>
      <c r="N112" s="468"/>
      <c r="O112" s="397"/>
      <c r="P112" s="133"/>
      <c r="Q112" s="133"/>
      <c r="R112" s="397"/>
      <c r="S112" s="398">
        <f t="shared" si="15"/>
        <v>0</v>
      </c>
      <c r="T112" s="500"/>
    </row>
    <row r="113" spans="1:20" s="267" customFormat="1" ht="13">
      <c r="A113" s="420" t="s">
        <v>196</v>
      </c>
      <c r="B113" s="278">
        <v>0</v>
      </c>
      <c r="C113" s="271">
        <v>0</v>
      </c>
      <c r="D113" s="271">
        <v>0</v>
      </c>
      <c r="E113" s="271">
        <v>0</v>
      </c>
      <c r="F113" s="271">
        <v>0</v>
      </c>
      <c r="G113" s="271">
        <v>0</v>
      </c>
      <c r="H113" s="271">
        <v>0</v>
      </c>
      <c r="I113" s="271">
        <v>0</v>
      </c>
      <c r="J113" s="271">
        <v>0</v>
      </c>
      <c r="K113" s="271">
        <v>0</v>
      </c>
      <c r="L113" s="271">
        <v>0</v>
      </c>
      <c r="M113" s="654">
        <v>0</v>
      </c>
      <c r="N113" s="468">
        <f>SUM(B113:M113)</f>
        <v>0</v>
      </c>
      <c r="O113" s="397">
        <v>0</v>
      </c>
      <c r="P113" s="271">
        <v>11031.75</v>
      </c>
      <c r="Q113" s="274">
        <f>N113-P113</f>
        <v>-11031.75</v>
      </c>
      <c r="R113" s="397">
        <v>0</v>
      </c>
      <c r="S113" s="398">
        <f t="shared" si="15"/>
        <v>0</v>
      </c>
      <c r="T113" s="500"/>
    </row>
    <row r="114" spans="1:20" s="267" customFormat="1" ht="13">
      <c r="A114" s="419" t="s">
        <v>223</v>
      </c>
      <c r="B114" s="639">
        <f t="shared" ref="B114:M114" si="26">SUM(B113:B113)</f>
        <v>0</v>
      </c>
      <c r="C114" s="469">
        <f t="shared" si="26"/>
        <v>0</v>
      </c>
      <c r="D114" s="469">
        <f t="shared" si="26"/>
        <v>0</v>
      </c>
      <c r="E114" s="469">
        <f t="shared" si="26"/>
        <v>0</v>
      </c>
      <c r="F114" s="469">
        <f t="shared" si="26"/>
        <v>0</v>
      </c>
      <c r="G114" s="469">
        <f t="shared" si="26"/>
        <v>0</v>
      </c>
      <c r="H114" s="469">
        <f t="shared" si="26"/>
        <v>0</v>
      </c>
      <c r="I114" s="469">
        <f t="shared" si="26"/>
        <v>0</v>
      </c>
      <c r="J114" s="469">
        <f t="shared" si="26"/>
        <v>0</v>
      </c>
      <c r="K114" s="469">
        <f t="shared" si="26"/>
        <v>0</v>
      </c>
      <c r="L114" s="469">
        <f t="shared" si="26"/>
        <v>0</v>
      </c>
      <c r="M114" s="660">
        <f t="shared" si="26"/>
        <v>0</v>
      </c>
      <c r="N114" s="467">
        <f>SUM(B114:M114)</f>
        <v>0</v>
      </c>
      <c r="O114" s="399">
        <v>0</v>
      </c>
      <c r="P114" s="469">
        <v>18072.3</v>
      </c>
      <c r="Q114" s="469">
        <f>N114-P114</f>
        <v>-18072.3</v>
      </c>
      <c r="R114" s="408">
        <v>0</v>
      </c>
      <c r="S114" s="398">
        <f t="shared" si="15"/>
        <v>0</v>
      </c>
      <c r="T114" s="500"/>
    </row>
    <row r="115" spans="1:20" s="267" customFormat="1" ht="6" customHeight="1">
      <c r="A115" s="419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656"/>
      <c r="N115" s="468"/>
      <c r="O115" s="397"/>
      <c r="P115" s="133"/>
      <c r="Q115" s="133"/>
      <c r="R115" s="397"/>
      <c r="S115" s="398">
        <f t="shared" si="15"/>
        <v>0</v>
      </c>
      <c r="T115" s="500"/>
    </row>
    <row r="116" spans="1:20" s="267" customFormat="1" ht="14.5" customHeight="1">
      <c r="A116" s="419" t="s">
        <v>198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656"/>
      <c r="N116" s="468"/>
      <c r="O116" s="397"/>
      <c r="P116" s="133"/>
      <c r="Q116" s="133"/>
      <c r="R116" s="397"/>
      <c r="S116" s="398">
        <f t="shared" si="15"/>
        <v>0</v>
      </c>
      <c r="T116" s="500"/>
    </row>
    <row r="117" spans="1:20" s="267" customFormat="1" ht="13">
      <c r="A117" s="420" t="s">
        <v>199</v>
      </c>
      <c r="B117" s="278">
        <v>18000</v>
      </c>
      <c r="C117" s="278">
        <v>18000</v>
      </c>
      <c r="D117" s="278">
        <v>18000</v>
      </c>
      <c r="E117" s="278">
        <v>18000</v>
      </c>
      <c r="F117" s="278">
        <v>18000</v>
      </c>
      <c r="G117" s="278">
        <v>18000</v>
      </c>
      <c r="H117" s="278">
        <v>18000</v>
      </c>
      <c r="I117" s="278">
        <v>18000</v>
      </c>
      <c r="J117" s="278">
        <v>18000</v>
      </c>
      <c r="K117" s="278">
        <v>18000</v>
      </c>
      <c r="L117" s="278">
        <v>18000</v>
      </c>
      <c r="M117" s="654">
        <v>18000</v>
      </c>
      <c r="N117" s="468">
        <f>SUM(B117:M117)</f>
        <v>216000</v>
      </c>
      <c r="O117" s="397">
        <v>216000</v>
      </c>
      <c r="P117" s="271">
        <v>376153.68000000011</v>
      </c>
      <c r="Q117" s="274">
        <f>N117-P117</f>
        <v>-160153.68000000011</v>
      </c>
      <c r="R117" s="397">
        <v>216000</v>
      </c>
      <c r="S117" s="398">
        <f t="shared" si="15"/>
        <v>0</v>
      </c>
      <c r="T117" s="500"/>
    </row>
    <row r="118" spans="1:20" s="267" customFormat="1" ht="13">
      <c r="A118" s="420" t="s">
        <v>200</v>
      </c>
      <c r="B118" s="278">
        <v>0</v>
      </c>
      <c r="C118" s="278">
        <v>0</v>
      </c>
      <c r="D118" s="278">
        <v>0</v>
      </c>
      <c r="E118" s="278">
        <v>0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  <c r="L118" s="278">
        <v>0</v>
      </c>
      <c r="M118" s="654">
        <v>0</v>
      </c>
      <c r="N118" s="468">
        <f>SUM(B118:M118)</f>
        <v>0</v>
      </c>
      <c r="O118" s="397"/>
      <c r="P118" s="271">
        <v>46507.833333333336</v>
      </c>
      <c r="Q118" s="274">
        <f>N118-P118</f>
        <v>-46507.833333333336</v>
      </c>
      <c r="R118" s="397"/>
      <c r="S118" s="398">
        <f t="shared" si="15"/>
        <v>0</v>
      </c>
      <c r="T118" s="507"/>
    </row>
    <row r="119" spans="1:20" s="527" customFormat="1" ht="26">
      <c r="A119" s="519" t="s">
        <v>201</v>
      </c>
      <c r="B119" s="520">
        <v>12500</v>
      </c>
      <c r="C119" s="520">
        <v>12500</v>
      </c>
      <c r="D119" s="520">
        <v>12500</v>
      </c>
      <c r="E119" s="520">
        <v>12500</v>
      </c>
      <c r="F119" s="520">
        <v>12500</v>
      </c>
      <c r="G119" s="520">
        <v>12500</v>
      </c>
      <c r="H119" s="520">
        <v>12500</v>
      </c>
      <c r="I119" s="520">
        <v>12500</v>
      </c>
      <c r="J119" s="520">
        <v>12500</v>
      </c>
      <c r="K119" s="520">
        <v>12500</v>
      </c>
      <c r="L119" s="520">
        <v>12500</v>
      </c>
      <c r="M119" s="658">
        <v>12500</v>
      </c>
      <c r="N119" s="673">
        <f>SUM(B119:M119)</f>
        <v>150000</v>
      </c>
      <c r="O119" s="542">
        <v>135000</v>
      </c>
      <c r="P119" s="521"/>
      <c r="Q119" s="543"/>
      <c r="R119" s="542">
        <v>150000</v>
      </c>
      <c r="S119" s="525">
        <f t="shared" si="15"/>
        <v>-15000</v>
      </c>
      <c r="T119" s="526" t="s">
        <v>256</v>
      </c>
    </row>
    <row r="120" spans="1:20" s="527" customFormat="1" ht="39">
      <c r="A120" s="519" t="s">
        <v>202</v>
      </c>
      <c r="B120" s="520">
        <v>6500</v>
      </c>
      <c r="C120" s="520">
        <v>6500</v>
      </c>
      <c r="D120" s="520">
        <v>6500</v>
      </c>
      <c r="E120" s="520">
        <v>6500</v>
      </c>
      <c r="F120" s="520">
        <v>6500</v>
      </c>
      <c r="G120" s="520">
        <v>6500</v>
      </c>
      <c r="H120" s="520">
        <v>6500</v>
      </c>
      <c r="I120" s="520">
        <v>6500</v>
      </c>
      <c r="J120" s="520">
        <v>6500</v>
      </c>
      <c r="K120" s="520">
        <v>6500</v>
      </c>
      <c r="L120" s="520">
        <v>6500</v>
      </c>
      <c r="M120" s="658">
        <v>6500</v>
      </c>
      <c r="N120" s="673">
        <f t="shared" ref="N120:N129" si="27">SUM(B120:M120)</f>
        <v>78000</v>
      </c>
      <c r="O120" s="542">
        <v>60000</v>
      </c>
      <c r="P120" s="521"/>
      <c r="Q120" s="543"/>
      <c r="R120" s="542">
        <v>84000</v>
      </c>
      <c r="S120" s="525">
        <f t="shared" si="15"/>
        <v>-24000</v>
      </c>
      <c r="T120" s="526" t="s">
        <v>263</v>
      </c>
    </row>
    <row r="121" spans="1:20" s="527" customFormat="1" ht="13">
      <c r="A121" s="519" t="s">
        <v>203</v>
      </c>
      <c r="B121" s="520">
        <v>1700</v>
      </c>
      <c r="C121" s="520">
        <v>1700</v>
      </c>
      <c r="D121" s="520">
        <v>1700</v>
      </c>
      <c r="E121" s="520">
        <v>1700</v>
      </c>
      <c r="F121" s="520">
        <v>1700</v>
      </c>
      <c r="G121" s="520">
        <v>1700</v>
      </c>
      <c r="H121" s="520">
        <v>1700</v>
      </c>
      <c r="I121" s="520">
        <v>1700</v>
      </c>
      <c r="J121" s="520">
        <v>1700</v>
      </c>
      <c r="K121" s="520">
        <v>1700</v>
      </c>
      <c r="L121" s="520">
        <v>1700</v>
      </c>
      <c r="M121" s="658">
        <v>1700</v>
      </c>
      <c r="N121" s="673">
        <f>SUM(B121:M121)</f>
        <v>20400</v>
      </c>
      <c r="O121" s="542">
        <v>20400</v>
      </c>
      <c r="P121" s="521"/>
      <c r="Q121" s="543"/>
      <c r="R121" s="542">
        <v>20400</v>
      </c>
      <c r="S121" s="525">
        <f t="shared" si="15"/>
        <v>0</v>
      </c>
      <c r="T121" s="526"/>
    </row>
    <row r="122" spans="1:20" s="527" customFormat="1" ht="39">
      <c r="A122" s="519" t="s">
        <v>204</v>
      </c>
      <c r="B122" s="520">
        <v>2000</v>
      </c>
      <c r="C122" s="520">
        <v>2000</v>
      </c>
      <c r="D122" s="520">
        <v>2000</v>
      </c>
      <c r="E122" s="520">
        <v>2000</v>
      </c>
      <c r="F122" s="520">
        <v>2000</v>
      </c>
      <c r="G122" s="520">
        <v>2000</v>
      </c>
      <c r="H122" s="520">
        <v>2000</v>
      </c>
      <c r="I122" s="520">
        <v>2000</v>
      </c>
      <c r="J122" s="520">
        <v>2000</v>
      </c>
      <c r="K122" s="520">
        <v>4000</v>
      </c>
      <c r="L122" s="520">
        <v>4000</v>
      </c>
      <c r="M122" s="658">
        <v>4000</v>
      </c>
      <c r="N122" s="673">
        <f t="shared" si="27"/>
        <v>30000</v>
      </c>
      <c r="O122" s="542">
        <v>30000</v>
      </c>
      <c r="P122" s="521"/>
      <c r="Q122" s="543"/>
      <c r="R122" s="542">
        <v>48000</v>
      </c>
      <c r="S122" s="525">
        <f t="shared" si="15"/>
        <v>-18000</v>
      </c>
      <c r="T122" s="526" t="s">
        <v>264</v>
      </c>
    </row>
    <row r="123" spans="1:20" s="527" customFormat="1" ht="13">
      <c r="A123" s="519" t="s">
        <v>205</v>
      </c>
      <c r="B123" s="520">
        <v>500</v>
      </c>
      <c r="C123" s="520">
        <v>500</v>
      </c>
      <c r="D123" s="520">
        <v>500</v>
      </c>
      <c r="E123" s="520">
        <v>500</v>
      </c>
      <c r="F123" s="520">
        <v>500</v>
      </c>
      <c r="G123" s="520">
        <v>500</v>
      </c>
      <c r="H123" s="520">
        <v>500</v>
      </c>
      <c r="I123" s="520">
        <v>500</v>
      </c>
      <c r="J123" s="520">
        <v>500</v>
      </c>
      <c r="K123" s="520">
        <v>500</v>
      </c>
      <c r="L123" s="520">
        <v>500</v>
      </c>
      <c r="M123" s="658">
        <v>500</v>
      </c>
      <c r="N123" s="673">
        <f t="shared" si="27"/>
        <v>6000</v>
      </c>
      <c r="O123" s="542">
        <v>6000</v>
      </c>
      <c r="P123" s="521"/>
      <c r="Q123" s="543"/>
      <c r="R123" s="542">
        <v>6000</v>
      </c>
      <c r="S123" s="525">
        <f t="shared" si="15"/>
        <v>0</v>
      </c>
      <c r="T123" s="526"/>
    </row>
    <row r="124" spans="1:20" s="527" customFormat="1" ht="13">
      <c r="A124" s="519" t="s">
        <v>257</v>
      </c>
      <c r="B124" s="520">
        <v>2000</v>
      </c>
      <c r="C124" s="520">
        <v>2000</v>
      </c>
      <c r="D124" s="520">
        <v>2000</v>
      </c>
      <c r="E124" s="520">
        <v>2000</v>
      </c>
      <c r="F124" s="520">
        <v>2000</v>
      </c>
      <c r="G124" s="520">
        <v>2000</v>
      </c>
      <c r="H124" s="520">
        <v>2000</v>
      </c>
      <c r="I124" s="520">
        <v>2000</v>
      </c>
      <c r="J124" s="520">
        <v>2000</v>
      </c>
      <c r="K124" s="520">
        <v>2000</v>
      </c>
      <c r="L124" s="520">
        <v>2000</v>
      </c>
      <c r="M124" s="658">
        <v>2000</v>
      </c>
      <c r="N124" s="673">
        <f t="shared" si="27"/>
        <v>24000</v>
      </c>
      <c r="O124" s="542">
        <v>24000</v>
      </c>
      <c r="P124" s="521"/>
      <c r="Q124" s="543"/>
      <c r="R124" s="542">
        <v>24000</v>
      </c>
      <c r="S124" s="525">
        <f t="shared" si="15"/>
        <v>0</v>
      </c>
      <c r="T124" s="526"/>
    </row>
    <row r="125" spans="1:20" s="527" customFormat="1" ht="13">
      <c r="A125" s="519" t="s">
        <v>207</v>
      </c>
      <c r="B125" s="520">
        <v>2000</v>
      </c>
      <c r="C125" s="520">
        <v>2000</v>
      </c>
      <c r="D125" s="520">
        <v>2000</v>
      </c>
      <c r="E125" s="520">
        <v>2000</v>
      </c>
      <c r="F125" s="520">
        <v>2000</v>
      </c>
      <c r="G125" s="520">
        <v>2000</v>
      </c>
      <c r="H125" s="520">
        <v>2000</v>
      </c>
      <c r="I125" s="520">
        <v>2000</v>
      </c>
      <c r="J125" s="520">
        <v>2000</v>
      </c>
      <c r="K125" s="520">
        <v>2000</v>
      </c>
      <c r="L125" s="520">
        <v>2000</v>
      </c>
      <c r="M125" s="658">
        <v>2000</v>
      </c>
      <c r="N125" s="673">
        <f>SUM(B125:M125)</f>
        <v>24000</v>
      </c>
      <c r="O125" s="542">
        <v>24000</v>
      </c>
      <c r="P125" s="521"/>
      <c r="Q125" s="543"/>
      <c r="R125" s="542">
        <v>24000</v>
      </c>
      <c r="S125" s="525">
        <f t="shared" si="15"/>
        <v>0</v>
      </c>
      <c r="T125" s="526"/>
    </row>
    <row r="126" spans="1:20" s="527" customFormat="1" ht="26">
      <c r="A126" s="519" t="s">
        <v>258</v>
      </c>
      <c r="B126" s="520">
        <v>1000</v>
      </c>
      <c r="C126" s="520">
        <v>1000</v>
      </c>
      <c r="D126" s="520">
        <v>1000</v>
      </c>
      <c r="E126" s="520">
        <v>1000</v>
      </c>
      <c r="F126" s="520">
        <v>1000</v>
      </c>
      <c r="G126" s="520">
        <v>1000</v>
      </c>
      <c r="H126" s="520">
        <v>2000</v>
      </c>
      <c r="I126" s="520">
        <v>2000</v>
      </c>
      <c r="J126" s="520">
        <v>2000</v>
      </c>
      <c r="K126" s="520">
        <v>2000</v>
      </c>
      <c r="L126" s="520">
        <v>2000</v>
      </c>
      <c r="M126" s="658">
        <v>2000</v>
      </c>
      <c r="N126" s="673">
        <f>SUM(B126:M126)</f>
        <v>18000</v>
      </c>
      <c r="O126" s="542">
        <v>12000</v>
      </c>
      <c r="P126" s="521"/>
      <c r="Q126" s="543"/>
      <c r="R126" s="542">
        <v>48000</v>
      </c>
      <c r="S126" s="525">
        <f t="shared" si="15"/>
        <v>-36000</v>
      </c>
      <c r="T126" s="526" t="s">
        <v>265</v>
      </c>
    </row>
    <row r="127" spans="1:20" s="527" customFormat="1" ht="26">
      <c r="A127" s="519" t="s">
        <v>209</v>
      </c>
      <c r="B127" s="520">
        <v>0</v>
      </c>
      <c r="C127" s="520">
        <v>0</v>
      </c>
      <c r="D127" s="520">
        <v>0</v>
      </c>
      <c r="E127" s="520">
        <v>0</v>
      </c>
      <c r="F127" s="520">
        <v>0</v>
      </c>
      <c r="G127" s="520">
        <v>0</v>
      </c>
      <c r="H127" s="520">
        <v>0</v>
      </c>
      <c r="I127" s="520">
        <v>0</v>
      </c>
      <c r="J127" s="520">
        <v>0</v>
      </c>
      <c r="K127" s="520">
        <v>0</v>
      </c>
      <c r="L127" s="520">
        <v>0</v>
      </c>
      <c r="M127" s="658">
        <v>0</v>
      </c>
      <c r="N127" s="673">
        <f>SUM(B127:M127)</f>
        <v>0</v>
      </c>
      <c r="O127" s="542">
        <v>18000</v>
      </c>
      <c r="P127" s="521"/>
      <c r="Q127" s="543"/>
      <c r="R127" s="542">
        <v>36000</v>
      </c>
      <c r="S127" s="525">
        <f t="shared" si="15"/>
        <v>-18000</v>
      </c>
      <c r="T127" s="526" t="s">
        <v>259</v>
      </c>
    </row>
    <row r="128" spans="1:20" s="267" customFormat="1" ht="13">
      <c r="A128" s="420" t="s">
        <v>210</v>
      </c>
      <c r="B128" s="278">
        <v>0</v>
      </c>
      <c r="C128" s="271">
        <v>0</v>
      </c>
      <c r="D128" s="271">
        <v>0</v>
      </c>
      <c r="E128" s="271">
        <v>0</v>
      </c>
      <c r="F128" s="271">
        <v>0</v>
      </c>
      <c r="G128" s="271">
        <v>0</v>
      </c>
      <c r="H128" s="271">
        <v>0</v>
      </c>
      <c r="I128" s="271">
        <v>0</v>
      </c>
      <c r="J128" s="271">
        <f>'Payroll Worksheet'!AH23</f>
        <v>0</v>
      </c>
      <c r="K128" s="271">
        <f>'Payroll Worksheet'!AI23</f>
        <v>0</v>
      </c>
      <c r="L128" s="271">
        <f>'Payroll Worksheet'!AJ23</f>
        <v>0</v>
      </c>
      <c r="M128" s="654">
        <f>'Payroll Worksheet'!AK23</f>
        <v>0</v>
      </c>
      <c r="N128" s="467">
        <f t="shared" si="27"/>
        <v>0</v>
      </c>
      <c r="O128" s="406">
        <v>0</v>
      </c>
      <c r="P128" s="271">
        <v>891.46</v>
      </c>
      <c r="Q128" s="274">
        <f>N128-P128</f>
        <v>-891.46</v>
      </c>
      <c r="R128" s="406">
        <v>0</v>
      </c>
      <c r="S128" s="398">
        <f t="shared" si="15"/>
        <v>0</v>
      </c>
      <c r="T128" s="500"/>
    </row>
    <row r="129" spans="1:41" s="267" customFormat="1" ht="13">
      <c r="A129" s="420" t="s">
        <v>211</v>
      </c>
      <c r="B129" s="278">
        <v>0</v>
      </c>
      <c r="C129" s="271">
        <v>0</v>
      </c>
      <c r="D129" s="271">
        <v>0</v>
      </c>
      <c r="E129" s="271">
        <v>0</v>
      </c>
      <c r="F129" s="271">
        <v>0</v>
      </c>
      <c r="G129" s="271" t="s">
        <v>260</v>
      </c>
      <c r="H129" s="271">
        <v>0</v>
      </c>
      <c r="I129" s="271">
        <v>0</v>
      </c>
      <c r="J129" s="271">
        <f>'Payroll Worksheet'!AH21</f>
        <v>0</v>
      </c>
      <c r="K129" s="271">
        <f>'Payroll Worksheet'!AI21</f>
        <v>0</v>
      </c>
      <c r="L129" s="271">
        <f>'Payroll Worksheet'!AJ21</f>
        <v>0</v>
      </c>
      <c r="M129" s="654">
        <f>'Payroll Worksheet'!AK21</f>
        <v>0</v>
      </c>
      <c r="N129" s="467">
        <f t="shared" si="27"/>
        <v>0</v>
      </c>
      <c r="O129" s="406">
        <v>0</v>
      </c>
      <c r="P129" s="271">
        <v>11652.939999999999</v>
      </c>
      <c r="Q129" s="274">
        <f>N129-P129</f>
        <v>-11652.939999999999</v>
      </c>
      <c r="R129" s="406">
        <v>0</v>
      </c>
      <c r="S129" s="398">
        <f t="shared" si="15"/>
        <v>0</v>
      </c>
      <c r="T129" s="500"/>
    </row>
    <row r="130" spans="1:41" s="267" customFormat="1" ht="13">
      <c r="A130" s="420" t="s">
        <v>213</v>
      </c>
      <c r="B130" s="278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654"/>
      <c r="N130" s="467"/>
      <c r="O130" s="406"/>
      <c r="P130" s="271"/>
      <c r="Q130" s="274"/>
      <c r="R130" s="406"/>
      <c r="S130" s="398">
        <f t="shared" si="15"/>
        <v>0</v>
      </c>
      <c r="T130" s="500"/>
    </row>
    <row r="131" spans="1:41" s="267" customFormat="1" ht="13">
      <c r="A131" s="419" t="s">
        <v>214</v>
      </c>
      <c r="B131" s="469">
        <f t="shared" ref="B131:M131" si="28">SUM(B117:B130)</f>
        <v>46200</v>
      </c>
      <c r="C131" s="469">
        <f t="shared" si="28"/>
        <v>46200</v>
      </c>
      <c r="D131" s="469">
        <f t="shared" si="28"/>
        <v>46200</v>
      </c>
      <c r="E131" s="469">
        <f t="shared" si="28"/>
        <v>46200</v>
      </c>
      <c r="F131" s="469">
        <f t="shared" si="28"/>
        <v>46200</v>
      </c>
      <c r="G131" s="469">
        <f t="shared" si="28"/>
        <v>46200</v>
      </c>
      <c r="H131" s="469">
        <f t="shared" si="28"/>
        <v>47200</v>
      </c>
      <c r="I131" s="469">
        <f t="shared" si="28"/>
        <v>47200</v>
      </c>
      <c r="J131" s="469">
        <f t="shared" si="28"/>
        <v>47200</v>
      </c>
      <c r="K131" s="469">
        <f t="shared" si="28"/>
        <v>49200</v>
      </c>
      <c r="L131" s="469">
        <f t="shared" si="28"/>
        <v>49200</v>
      </c>
      <c r="M131" s="660">
        <f t="shared" si="28"/>
        <v>49200</v>
      </c>
      <c r="N131" s="467">
        <f>SUM(B131:M131)</f>
        <v>566400</v>
      </c>
      <c r="O131" s="406">
        <f>SUM(O117:O130)</f>
        <v>545400</v>
      </c>
      <c r="P131" s="276">
        <v>435205.91333333345</v>
      </c>
      <c r="Q131" s="276">
        <f>N131-P131</f>
        <v>131194.08666666655</v>
      </c>
      <c r="R131" s="401">
        <f>SUM(R117:R130)</f>
        <v>656400</v>
      </c>
      <c r="S131" s="398">
        <f t="shared" si="15"/>
        <v>-111000</v>
      </c>
      <c r="T131" s="507"/>
    </row>
    <row r="132" spans="1:41" s="267" customFormat="1" ht="6" customHeight="1" thickBot="1">
      <c r="A132" s="419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56"/>
      <c r="N132" s="468"/>
      <c r="O132" s="397"/>
      <c r="P132" s="133"/>
      <c r="Q132" s="133"/>
      <c r="R132" s="397"/>
      <c r="S132" s="398">
        <f t="shared" si="15"/>
        <v>0</v>
      </c>
      <c r="T132" s="500"/>
    </row>
    <row r="133" spans="1:41" s="458" customFormat="1" ht="14" thickTop="1">
      <c r="A133" s="445" t="s">
        <v>107</v>
      </c>
      <c r="B133" s="453">
        <f t="shared" ref="B133:M133" si="29">B60+B76+B86+B109+B114+B131</f>
        <v>84650</v>
      </c>
      <c r="C133" s="446">
        <f t="shared" si="29"/>
        <v>79650</v>
      </c>
      <c r="D133" s="446">
        <f t="shared" si="29"/>
        <v>81150</v>
      </c>
      <c r="E133" s="446">
        <f t="shared" si="29"/>
        <v>80650</v>
      </c>
      <c r="F133" s="446">
        <f t="shared" si="29"/>
        <v>120050</v>
      </c>
      <c r="G133" s="446">
        <f t="shared" si="29"/>
        <v>78450</v>
      </c>
      <c r="H133" s="446">
        <f t="shared" si="29"/>
        <v>139550</v>
      </c>
      <c r="I133" s="446">
        <f t="shared" si="29"/>
        <v>104950</v>
      </c>
      <c r="J133" s="446">
        <f t="shared" si="29"/>
        <v>153650</v>
      </c>
      <c r="K133" s="446">
        <f t="shared" si="29"/>
        <v>161450</v>
      </c>
      <c r="L133" s="446">
        <f t="shared" si="29"/>
        <v>111150</v>
      </c>
      <c r="M133" s="659">
        <f t="shared" si="29"/>
        <v>106150</v>
      </c>
      <c r="N133" s="647">
        <f>SUM(B133:M133)</f>
        <v>1301500</v>
      </c>
      <c r="O133" s="455">
        <f>O60+O76+O86+O109+O114+O131</f>
        <v>1130600</v>
      </c>
      <c r="P133" s="453">
        <v>791196.94333333336</v>
      </c>
      <c r="Q133" s="456">
        <f>N133-P133</f>
        <v>510303.05666666664</v>
      </c>
      <c r="R133" s="455">
        <f>R60+R76+R86+R109+R114+R131</f>
        <v>1425700</v>
      </c>
      <c r="S133" s="398">
        <f t="shared" si="15"/>
        <v>-295100</v>
      </c>
      <c r="T133" s="508"/>
    </row>
    <row r="134" spans="1:41" s="368" customFormat="1" ht="13" thickBot="1">
      <c r="A134" s="419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662"/>
      <c r="N134" s="468"/>
      <c r="O134" s="397"/>
      <c r="P134" s="285"/>
      <c r="Q134" s="285"/>
      <c r="R134" s="397"/>
      <c r="S134" s="398">
        <f t="shared" ref="S134:S135" si="30">O134-R134</f>
        <v>0</v>
      </c>
      <c r="T134" s="502"/>
    </row>
    <row r="135" spans="1:41" s="466" customFormat="1" ht="14" thickBot="1">
      <c r="A135" s="459" t="s">
        <v>108</v>
      </c>
      <c r="B135" s="460">
        <f t="shared" ref="B135:O135" si="31">B48-B133</f>
        <v>221750</v>
      </c>
      <c r="C135" s="460">
        <f t="shared" si="31"/>
        <v>-30605</v>
      </c>
      <c r="D135" s="460">
        <f t="shared" si="31"/>
        <v>-30415.5</v>
      </c>
      <c r="E135" s="460">
        <f t="shared" si="31"/>
        <v>-22902.049999999996</v>
      </c>
      <c r="F135" s="460">
        <f t="shared" si="31"/>
        <v>-19282.25499999999</v>
      </c>
      <c r="G135" s="460">
        <f t="shared" si="31"/>
        <v>78279.519499999995</v>
      </c>
      <c r="H135" s="460">
        <f t="shared" si="31"/>
        <v>-41327.528549999988</v>
      </c>
      <c r="I135" s="460">
        <f t="shared" si="31"/>
        <v>16989.718595000013</v>
      </c>
      <c r="J135" s="460">
        <f t="shared" si="31"/>
        <v>7828.6904545000289</v>
      </c>
      <c r="K135" s="460">
        <f t="shared" si="31"/>
        <v>35041.559499950032</v>
      </c>
      <c r="L135" s="460">
        <f t="shared" si="31"/>
        <v>1185.7154499450407</v>
      </c>
      <c r="M135" s="663">
        <f t="shared" si="31"/>
        <v>43824.286994939554</v>
      </c>
      <c r="N135" s="648">
        <f t="shared" si="31"/>
        <v>260367.15694433497</v>
      </c>
      <c r="O135" s="463">
        <f t="shared" si="31"/>
        <v>-99400</v>
      </c>
      <c r="P135" s="460">
        <v>388579.43666666653</v>
      </c>
      <c r="Q135" s="464"/>
      <c r="R135" s="463">
        <f>R48-R133</f>
        <v>1046400</v>
      </c>
      <c r="S135" s="398">
        <f t="shared" si="30"/>
        <v>-1145800</v>
      </c>
      <c r="T135" s="509"/>
    </row>
    <row r="136" spans="1:41" s="267" customFormat="1" ht="12">
      <c r="A136" s="420"/>
      <c r="B136" s="413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653"/>
      <c r="N136" s="468"/>
      <c r="O136" s="397"/>
      <c r="P136" s="133"/>
      <c r="Q136" s="133"/>
      <c r="R136" s="133"/>
      <c r="S136" s="394"/>
      <c r="T136" s="500"/>
    </row>
    <row r="137" spans="1:41" s="285" customFormat="1" ht="12">
      <c r="A137" s="427" t="s">
        <v>215</v>
      </c>
      <c r="B137" s="287" t="e">
        <f>#REF!</f>
        <v>#REF!</v>
      </c>
      <c r="C137" s="275" t="e">
        <f t="shared" ref="C137:M137" si="32">B139</f>
        <v>#REF!</v>
      </c>
      <c r="D137" s="371" t="e">
        <f t="shared" si="32"/>
        <v>#REF!</v>
      </c>
      <c r="E137" s="275" t="e">
        <f t="shared" si="32"/>
        <v>#REF!</v>
      </c>
      <c r="F137" s="275" t="e">
        <f t="shared" si="32"/>
        <v>#REF!</v>
      </c>
      <c r="G137" s="275" t="e">
        <f t="shared" si="32"/>
        <v>#REF!</v>
      </c>
      <c r="H137" s="275" t="e">
        <f t="shared" si="32"/>
        <v>#REF!</v>
      </c>
      <c r="I137" s="275" t="e">
        <f t="shared" si="32"/>
        <v>#REF!</v>
      </c>
      <c r="J137" s="275" t="e">
        <f t="shared" si="32"/>
        <v>#REF!</v>
      </c>
      <c r="K137" s="275" t="e">
        <f t="shared" si="32"/>
        <v>#REF!</v>
      </c>
      <c r="L137" s="275" t="e">
        <f t="shared" si="32"/>
        <v>#REF!</v>
      </c>
      <c r="M137" s="664" t="e">
        <f t="shared" si="32"/>
        <v>#REF!</v>
      </c>
      <c r="N137" s="468"/>
      <c r="O137" s="397"/>
      <c r="P137" s="275" t="e">
        <f>P124+#REF!+P70</f>
        <v>#REF!</v>
      </c>
      <c r="Q137" s="275"/>
      <c r="R137" s="275"/>
      <c r="S137" s="394"/>
      <c r="T137" s="510"/>
    </row>
    <row r="138" spans="1:41" s="267" customFormat="1" ht="12">
      <c r="A138" s="421"/>
      <c r="B138" s="414"/>
      <c r="C138" s="273"/>
      <c r="D138" s="371"/>
      <c r="E138" s="273"/>
      <c r="F138" s="273"/>
      <c r="G138" s="273"/>
      <c r="H138" s="273"/>
      <c r="I138" s="273"/>
      <c r="J138" s="273"/>
      <c r="K138" s="273"/>
      <c r="L138" s="273"/>
      <c r="M138" s="657"/>
      <c r="N138" s="468"/>
      <c r="O138" s="397"/>
      <c r="P138" s="133"/>
      <c r="Q138" s="133"/>
      <c r="R138" s="133"/>
      <c r="S138" s="394"/>
      <c r="T138" s="500"/>
    </row>
    <row r="139" spans="1:41" s="376" customFormat="1" ht="12">
      <c r="A139" s="428" t="s">
        <v>216</v>
      </c>
      <c r="B139" s="415" t="e">
        <f>B135+B137</f>
        <v>#REF!</v>
      </c>
      <c r="C139" s="374" t="e">
        <f t="shared" ref="C139:M139" si="33">C135+C137</f>
        <v>#REF!</v>
      </c>
      <c r="D139" s="375" t="e">
        <f t="shared" si="33"/>
        <v>#REF!</v>
      </c>
      <c r="E139" s="374" t="e">
        <f t="shared" si="33"/>
        <v>#REF!</v>
      </c>
      <c r="F139" s="374" t="e">
        <f t="shared" si="33"/>
        <v>#REF!</v>
      </c>
      <c r="G139" s="374" t="e">
        <f t="shared" si="33"/>
        <v>#REF!</v>
      </c>
      <c r="H139" s="374" t="e">
        <f t="shared" si="33"/>
        <v>#REF!</v>
      </c>
      <c r="I139" s="374" t="e">
        <f t="shared" si="33"/>
        <v>#REF!</v>
      </c>
      <c r="J139" s="374" t="e">
        <f t="shared" si="33"/>
        <v>#REF!</v>
      </c>
      <c r="K139" s="374" t="e">
        <f t="shared" si="33"/>
        <v>#REF!</v>
      </c>
      <c r="L139" s="374" t="e">
        <f t="shared" si="33"/>
        <v>#REF!</v>
      </c>
      <c r="M139" s="665" t="e">
        <f t="shared" si="33"/>
        <v>#REF!</v>
      </c>
      <c r="N139" s="468"/>
      <c r="O139" s="397"/>
      <c r="P139" s="373"/>
      <c r="Q139" s="373"/>
      <c r="R139" s="373"/>
      <c r="S139" s="394"/>
      <c r="T139" s="502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</row>
    <row r="140" spans="1:41" s="376" customFormat="1" ht="12">
      <c r="A140" s="427"/>
      <c r="B140" s="287"/>
      <c r="C140" s="275"/>
      <c r="D140" s="371"/>
      <c r="E140" s="275"/>
      <c r="F140" s="275"/>
      <c r="G140" s="275"/>
      <c r="H140" s="275"/>
      <c r="I140" s="275"/>
      <c r="J140" s="275"/>
      <c r="K140" s="275"/>
      <c r="L140" s="275"/>
      <c r="M140" s="664"/>
      <c r="N140" s="468"/>
      <c r="O140" s="397"/>
      <c r="P140" s="373"/>
      <c r="Q140" s="373"/>
      <c r="R140" s="373"/>
      <c r="S140" s="394"/>
      <c r="T140" s="502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</row>
    <row r="141" spans="1:41" s="267" customFormat="1" ht="26">
      <c r="A141" s="419" t="s">
        <v>217</v>
      </c>
      <c r="B141" s="416"/>
      <c r="C141" s="269"/>
      <c r="D141" s="371"/>
      <c r="E141" s="269"/>
      <c r="F141" s="269"/>
      <c r="G141" s="269"/>
      <c r="H141" s="269"/>
      <c r="I141" s="269"/>
      <c r="J141" s="269"/>
      <c r="K141" s="269"/>
      <c r="L141" s="269"/>
      <c r="M141" s="666"/>
      <c r="N141" s="649"/>
      <c r="O141" s="411"/>
      <c r="P141" s="133"/>
      <c r="Q141" s="133"/>
      <c r="R141" s="133"/>
      <c r="S141" s="394"/>
      <c r="T141" s="500"/>
    </row>
    <row r="142" spans="1:41">
      <c r="A142" s="417"/>
      <c r="B142" s="294"/>
      <c r="C142" s="294"/>
      <c r="D142" s="371"/>
      <c r="E142" s="301"/>
      <c r="F142" s="301"/>
      <c r="G142" s="301"/>
      <c r="H142" s="301"/>
      <c r="I142" s="301"/>
      <c r="J142" s="301"/>
      <c r="K142" s="301"/>
      <c r="L142" s="301"/>
      <c r="M142" s="667"/>
      <c r="N142" s="412"/>
      <c r="T142" s="501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</row>
    <row r="143" spans="1:41" ht="27">
      <c r="A143" s="419" t="s">
        <v>261</v>
      </c>
      <c r="B143" s="685"/>
      <c r="C143" s="685"/>
      <c r="D143" s="294"/>
      <c r="E143" s="294"/>
      <c r="F143" s="294"/>
      <c r="G143" s="294"/>
      <c r="H143" s="294"/>
      <c r="I143" s="294"/>
      <c r="J143" s="294"/>
      <c r="K143" s="294"/>
      <c r="L143" s="294"/>
      <c r="M143" s="650"/>
      <c r="N143" s="686"/>
      <c r="T143" s="501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</row>
    <row r="144" spans="1:41">
      <c r="A144" s="687">
        <v>100000</v>
      </c>
      <c r="B144" s="133"/>
      <c r="C144" s="133"/>
      <c r="D144" s="688">
        <f>-D135/95</f>
        <v>320.16315789473686</v>
      </c>
      <c r="E144" s="688">
        <f>-E135/95</f>
        <v>241.07421052631574</v>
      </c>
      <c r="F144" s="688">
        <f>-F135/95</f>
        <v>202.9711052631578</v>
      </c>
      <c r="G144" s="688"/>
      <c r="H144" s="688">
        <f>-H135/95</f>
        <v>435.02661631578934</v>
      </c>
      <c r="I144" s="688">
        <f>-I135/95</f>
        <v>-178.8391431052633</v>
      </c>
      <c r="J144" s="688">
        <f>-J135/95</f>
        <v>-82.407267942105562</v>
      </c>
      <c r="K144" s="688"/>
      <c r="L144" s="688">
        <f>-L135/95</f>
        <v>-12.481215262579376</v>
      </c>
      <c r="M144" s="689"/>
      <c r="N144" s="686">
        <f t="shared" ref="N144:N145" si="34">SUM(B144:M144)</f>
        <v>925.50746369005151</v>
      </c>
      <c r="T144" s="501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</row>
    <row r="145" spans="1:14">
      <c r="A145" s="687">
        <v>200000</v>
      </c>
      <c r="B145" s="688" t="e">
        <f>(200000-B137-B135)/95</f>
        <v>#REF!</v>
      </c>
      <c r="C145" s="688">
        <f>-C135/95</f>
        <v>322.15789473684208</v>
      </c>
      <c r="D145" s="688">
        <f t="shared" ref="D145:L145" si="35">-D135/95</f>
        <v>320.16315789473686</v>
      </c>
      <c r="E145" s="688">
        <f t="shared" si="35"/>
        <v>241.07421052631574</v>
      </c>
      <c r="F145" s="688">
        <f t="shared" si="35"/>
        <v>202.9711052631578</v>
      </c>
      <c r="G145" s="688"/>
      <c r="H145" s="688">
        <f t="shared" si="35"/>
        <v>435.02661631578934</v>
      </c>
      <c r="I145" s="688">
        <f t="shared" si="35"/>
        <v>-178.8391431052633</v>
      </c>
      <c r="J145" s="688">
        <f t="shared" si="35"/>
        <v>-82.407267942105562</v>
      </c>
      <c r="K145" s="688">
        <f t="shared" si="35"/>
        <v>-368.85852105210557</v>
      </c>
      <c r="L145" s="688">
        <f t="shared" si="35"/>
        <v>-12.481215262579376</v>
      </c>
      <c r="M145" s="689"/>
      <c r="N145" s="686" t="e">
        <f t="shared" si="34"/>
        <v>#REF!</v>
      </c>
    </row>
    <row r="147" spans="1:14" ht="27">
      <c r="A147" s="419" t="s">
        <v>266</v>
      </c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650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F3C63-3A5A-C74B-A2CB-D10AF200833C}">
  <dimension ref="A3:P30"/>
  <sheetViews>
    <sheetView zoomScale="150" zoomScaleNormal="150" workbookViewId="0">
      <selection activeCell="B7" sqref="B7"/>
    </sheetView>
  </sheetViews>
  <sheetFormatPr baseColWidth="10" defaultColWidth="10.83203125" defaultRowHeight="15"/>
  <cols>
    <col min="1" max="1" width="19.33203125" style="3" customWidth="1"/>
    <col min="2" max="13" width="11.6640625" style="288" bestFit="1" customWidth="1"/>
    <col min="14" max="14" width="12.6640625" style="288" bestFit="1" customWidth="1"/>
    <col min="15" max="15" width="12.5" style="288" bestFit="1" customWidth="1"/>
    <col min="16" max="16" width="13.33203125" style="288" customWidth="1"/>
    <col min="17" max="16384" width="10.83203125" style="288"/>
  </cols>
  <sheetData>
    <row r="3" spans="1:16" ht="21">
      <c r="H3" s="691">
        <v>2020</v>
      </c>
    </row>
    <row r="4" spans="1:16" s="3" customFormat="1">
      <c r="B4" s="3" t="s">
        <v>267</v>
      </c>
      <c r="C4" s="3" t="s">
        <v>268</v>
      </c>
      <c r="D4" s="3" t="s">
        <v>269</v>
      </c>
      <c r="E4" s="3" t="s">
        <v>270</v>
      </c>
      <c r="F4" s="3" t="s">
        <v>271</v>
      </c>
      <c r="G4" s="3" t="s">
        <v>272</v>
      </c>
      <c r="H4" s="3" t="s">
        <v>273</v>
      </c>
      <c r="I4" s="3" t="s">
        <v>274</v>
      </c>
      <c r="J4" s="3" t="s">
        <v>275</v>
      </c>
      <c r="K4" s="3" t="s">
        <v>276</v>
      </c>
      <c r="L4" s="3" t="s">
        <v>277</v>
      </c>
      <c r="M4" s="3" t="s">
        <v>278</v>
      </c>
      <c r="N4" s="3" t="s">
        <v>279</v>
      </c>
      <c r="O4" s="3" t="s">
        <v>280</v>
      </c>
      <c r="P4" s="3" t="s">
        <v>281</v>
      </c>
    </row>
    <row r="5" spans="1:16">
      <c r="A5" s="3" t="s">
        <v>282</v>
      </c>
      <c r="C5" s="288">
        <v>50</v>
      </c>
      <c r="D5" s="288">
        <f>1.2*C5</f>
        <v>60</v>
      </c>
      <c r="E5" s="288">
        <f t="shared" ref="E5:M5" si="0">1.2*D5</f>
        <v>72</v>
      </c>
      <c r="F5" s="692">
        <f t="shared" si="0"/>
        <v>86.399999999999991</v>
      </c>
      <c r="G5" s="692">
        <f t="shared" si="0"/>
        <v>103.67999999999999</v>
      </c>
      <c r="H5" s="692">
        <f t="shared" si="0"/>
        <v>124.41599999999998</v>
      </c>
      <c r="I5" s="692">
        <f t="shared" si="0"/>
        <v>149.29919999999998</v>
      </c>
      <c r="J5" s="692">
        <f t="shared" si="0"/>
        <v>179.15903999999998</v>
      </c>
      <c r="K5" s="692">
        <f t="shared" si="0"/>
        <v>214.99084799999997</v>
      </c>
      <c r="L5" s="692">
        <f t="shared" si="0"/>
        <v>257.98901759999995</v>
      </c>
      <c r="M5" s="692">
        <f t="shared" si="0"/>
        <v>309.58682111999991</v>
      </c>
      <c r="N5" s="692">
        <f>SUM(C5:M5)</f>
        <v>1607.5209267199998</v>
      </c>
      <c r="O5" s="171" t="s">
        <v>283</v>
      </c>
      <c r="P5" s="171"/>
    </row>
    <row r="6" spans="1:16">
      <c r="B6" s="114">
        <f>95*B5</f>
        <v>0</v>
      </c>
      <c r="C6" s="171">
        <f>95*C5</f>
        <v>4750</v>
      </c>
      <c r="D6" s="171">
        <f t="shared" ref="D6:M6" si="1">95*D5</f>
        <v>5700</v>
      </c>
      <c r="E6" s="171">
        <f t="shared" si="1"/>
        <v>6840</v>
      </c>
      <c r="F6" s="171">
        <f t="shared" si="1"/>
        <v>8208</v>
      </c>
      <c r="G6" s="171">
        <f t="shared" si="1"/>
        <v>9849.5999999999985</v>
      </c>
      <c r="H6" s="171">
        <f t="shared" si="1"/>
        <v>11819.519999999999</v>
      </c>
      <c r="I6" s="171">
        <f t="shared" si="1"/>
        <v>14183.423999999999</v>
      </c>
      <c r="J6" s="171">
        <f t="shared" si="1"/>
        <v>17020.108799999998</v>
      </c>
      <c r="K6" s="171">
        <f t="shared" si="1"/>
        <v>20424.130559999998</v>
      </c>
      <c r="L6" s="171">
        <f t="shared" si="1"/>
        <v>24508.956671999997</v>
      </c>
      <c r="M6" s="171">
        <f t="shared" si="1"/>
        <v>29410.74800639999</v>
      </c>
      <c r="N6" s="693">
        <f>SUM(B6:M6)</f>
        <v>152714.48803839998</v>
      </c>
    </row>
    <row r="7" spans="1:16">
      <c r="A7" s="3" t="s">
        <v>284</v>
      </c>
      <c r="B7" s="288">
        <v>3</v>
      </c>
      <c r="C7" s="288">
        <v>4</v>
      </c>
      <c r="D7" s="288">
        <v>5</v>
      </c>
      <c r="E7" s="288">
        <v>6</v>
      </c>
      <c r="F7" s="288">
        <v>7</v>
      </c>
      <c r="G7" s="288">
        <v>8</v>
      </c>
      <c r="H7" s="288">
        <v>9</v>
      </c>
      <c r="I7" s="288">
        <v>10</v>
      </c>
      <c r="J7" s="288">
        <v>10</v>
      </c>
      <c r="K7" s="288">
        <v>10</v>
      </c>
      <c r="L7" s="288">
        <v>10</v>
      </c>
      <c r="M7" s="288">
        <v>10</v>
      </c>
      <c r="N7" s="288">
        <f>SUM(B7:M7)</f>
        <v>92</v>
      </c>
    </row>
    <row r="8" spans="1:16">
      <c r="B8" s="171">
        <f>1140*B7</f>
        <v>3420</v>
      </c>
      <c r="C8" s="171">
        <f t="shared" ref="C8:M8" si="2">1140*C7</f>
        <v>4560</v>
      </c>
      <c r="D8" s="171">
        <f t="shared" si="2"/>
        <v>5700</v>
      </c>
      <c r="E8" s="171">
        <f t="shared" si="2"/>
        <v>6840</v>
      </c>
      <c r="F8" s="171">
        <f t="shared" si="2"/>
        <v>7980</v>
      </c>
      <c r="G8" s="171">
        <f t="shared" si="2"/>
        <v>9120</v>
      </c>
      <c r="H8" s="171">
        <f t="shared" si="2"/>
        <v>10260</v>
      </c>
      <c r="I8" s="171">
        <f t="shared" si="2"/>
        <v>11400</v>
      </c>
      <c r="J8" s="171">
        <f t="shared" si="2"/>
        <v>11400</v>
      </c>
      <c r="K8" s="171">
        <f t="shared" si="2"/>
        <v>11400</v>
      </c>
      <c r="L8" s="171">
        <f t="shared" si="2"/>
        <v>11400</v>
      </c>
      <c r="M8" s="171">
        <f t="shared" si="2"/>
        <v>11400</v>
      </c>
      <c r="N8" s="171">
        <f>SUM(B8:M8)</f>
        <v>104880</v>
      </c>
    </row>
    <row r="9" spans="1:16">
      <c r="A9" s="3" t="s">
        <v>285</v>
      </c>
      <c r="B9" s="171">
        <v>31250</v>
      </c>
      <c r="C9" s="171">
        <v>18750</v>
      </c>
      <c r="D9" s="171">
        <v>28750</v>
      </c>
      <c r="E9" s="171">
        <v>19750</v>
      </c>
      <c r="F9" s="171">
        <v>34750</v>
      </c>
      <c r="G9" s="171">
        <v>19750</v>
      </c>
      <c r="H9" s="171">
        <v>34750</v>
      </c>
      <c r="I9" s="171">
        <v>24750</v>
      </c>
      <c r="J9" s="171">
        <v>37350</v>
      </c>
      <c r="K9" s="171">
        <v>36750</v>
      </c>
      <c r="L9" s="171">
        <v>40750</v>
      </c>
      <c r="M9" s="171">
        <v>25750</v>
      </c>
      <c r="N9" s="171">
        <f>SUM(B9:M9)</f>
        <v>353100</v>
      </c>
      <c r="P9" s="171" t="e">
        <f>#REF!</f>
        <v>#REF!</v>
      </c>
    </row>
    <row r="11" spans="1:16" ht="21">
      <c r="H11" s="694">
        <v>2021</v>
      </c>
      <c r="J11" s="692"/>
    </row>
    <row r="12" spans="1:16">
      <c r="A12" s="3" t="s">
        <v>282</v>
      </c>
      <c r="B12" s="288">
        <v>310</v>
      </c>
      <c r="C12" s="692">
        <f>B12*1.1</f>
        <v>341</v>
      </c>
      <c r="D12" s="692">
        <f t="shared" ref="D12:M12" si="3">C12*1.1</f>
        <v>375.1</v>
      </c>
      <c r="E12" s="692">
        <f t="shared" si="3"/>
        <v>412.61000000000007</v>
      </c>
      <c r="F12" s="692">
        <f t="shared" si="3"/>
        <v>453.87100000000009</v>
      </c>
      <c r="G12" s="692">
        <f t="shared" si="3"/>
        <v>499.25810000000013</v>
      </c>
      <c r="H12" s="692">
        <f t="shared" si="3"/>
        <v>549.1839100000002</v>
      </c>
      <c r="I12" s="692">
        <f t="shared" si="3"/>
        <v>604.10230100000024</v>
      </c>
      <c r="J12" s="692">
        <f t="shared" si="3"/>
        <v>664.51253110000027</v>
      </c>
      <c r="K12" s="692">
        <f t="shared" si="3"/>
        <v>730.96378421000031</v>
      </c>
      <c r="L12" s="692">
        <f t="shared" si="3"/>
        <v>804.06016263100037</v>
      </c>
      <c r="M12" s="692">
        <f t="shared" si="3"/>
        <v>884.46617889410049</v>
      </c>
      <c r="N12" s="692">
        <f>SUM(C12:M12)</f>
        <v>6319.1279678351011</v>
      </c>
      <c r="O12" s="288" t="s">
        <v>286</v>
      </c>
    </row>
    <row r="13" spans="1:16">
      <c r="B13" s="171">
        <f>95*B12</f>
        <v>29450</v>
      </c>
      <c r="C13" s="171">
        <f>95*C12</f>
        <v>32395</v>
      </c>
      <c r="D13" s="171">
        <f t="shared" ref="D13" si="4">95*D12</f>
        <v>35634.5</v>
      </c>
      <c r="E13" s="171">
        <f t="shared" ref="E13" si="5">95*E12</f>
        <v>39197.950000000004</v>
      </c>
      <c r="F13" s="171">
        <f t="shared" ref="F13" si="6">95*F12</f>
        <v>43117.74500000001</v>
      </c>
      <c r="G13" s="171">
        <f t="shared" ref="G13" si="7">95*G12</f>
        <v>47429.519500000009</v>
      </c>
      <c r="H13" s="171">
        <f t="shared" ref="H13" si="8">95*H12</f>
        <v>52172.471450000019</v>
      </c>
      <c r="I13" s="171">
        <f t="shared" ref="I13" si="9">95*I12</f>
        <v>57389.71859500002</v>
      </c>
      <c r="J13" s="171">
        <f t="shared" ref="J13" si="10">95*J12</f>
        <v>63128.690454500029</v>
      </c>
      <c r="K13" s="171">
        <f t="shared" ref="K13" si="11">95*K12</f>
        <v>69441.559499950032</v>
      </c>
      <c r="L13" s="171">
        <f t="shared" ref="L13" si="12">95*L12</f>
        <v>76385.715449945041</v>
      </c>
      <c r="M13" s="171">
        <f t="shared" ref="M13" si="13">95*M12</f>
        <v>84024.286994939554</v>
      </c>
      <c r="N13" s="693">
        <f>SUM(B13:M13)</f>
        <v>629767.15694433474</v>
      </c>
    </row>
    <row r="14" spans="1:16">
      <c r="A14" s="3" t="s">
        <v>284</v>
      </c>
      <c r="B14" s="288">
        <v>10</v>
      </c>
      <c r="C14" s="288">
        <v>10</v>
      </c>
      <c r="D14" s="288">
        <v>10</v>
      </c>
      <c r="E14" s="288">
        <v>10</v>
      </c>
      <c r="F14" s="288">
        <v>10</v>
      </c>
      <c r="G14" s="288">
        <v>10</v>
      </c>
      <c r="H14" s="288">
        <v>10</v>
      </c>
      <c r="I14" s="288">
        <v>10</v>
      </c>
      <c r="J14" s="288">
        <v>10</v>
      </c>
      <c r="K14" s="288">
        <v>10</v>
      </c>
      <c r="L14" s="288">
        <v>10</v>
      </c>
      <c r="M14" s="288">
        <v>10</v>
      </c>
      <c r="N14" s="288">
        <f>SUM(B14:M14)</f>
        <v>120</v>
      </c>
    </row>
    <row r="15" spans="1:16">
      <c r="B15" s="171">
        <f>1140*B14</f>
        <v>11400</v>
      </c>
      <c r="C15" s="171">
        <f t="shared" ref="C15" si="14">1140*C14</f>
        <v>11400</v>
      </c>
      <c r="D15" s="171">
        <f t="shared" ref="D15" si="15">1140*D14</f>
        <v>11400</v>
      </c>
      <c r="E15" s="171">
        <f t="shared" ref="E15" si="16">1140*E14</f>
        <v>11400</v>
      </c>
      <c r="F15" s="171">
        <f t="shared" ref="F15" si="17">1140*F14</f>
        <v>11400</v>
      </c>
      <c r="G15" s="171">
        <f t="shared" ref="G15" si="18">1140*G14</f>
        <v>11400</v>
      </c>
      <c r="H15" s="171">
        <f t="shared" ref="H15" si="19">1140*H14</f>
        <v>11400</v>
      </c>
      <c r="I15" s="171">
        <f t="shared" ref="I15" si="20">1140*I14</f>
        <v>11400</v>
      </c>
      <c r="J15" s="171">
        <f t="shared" ref="J15" si="21">1140*J14</f>
        <v>11400</v>
      </c>
      <c r="K15" s="171">
        <f t="shared" ref="K15" si="22">1140*K14</f>
        <v>11400</v>
      </c>
      <c r="L15" s="171">
        <f t="shared" ref="L15" si="23">1140*L14</f>
        <v>11400</v>
      </c>
      <c r="M15" s="171">
        <f t="shared" ref="M15" si="24">1140*M14</f>
        <v>11400</v>
      </c>
      <c r="N15" s="171">
        <f>SUM(B15:M15)</f>
        <v>136800</v>
      </c>
    </row>
    <row r="16" spans="1:16">
      <c r="A16" s="3" t="s">
        <v>285</v>
      </c>
      <c r="B16" s="171">
        <v>31250</v>
      </c>
      <c r="C16" s="171">
        <v>18750</v>
      </c>
      <c r="D16" s="171">
        <v>28750</v>
      </c>
      <c r="E16" s="171">
        <v>19750</v>
      </c>
      <c r="F16" s="171">
        <v>34750</v>
      </c>
      <c r="G16" s="171">
        <v>19750</v>
      </c>
      <c r="H16" s="171">
        <v>34750</v>
      </c>
      <c r="I16" s="171">
        <v>24750</v>
      </c>
      <c r="J16" s="171">
        <v>37350</v>
      </c>
      <c r="K16" s="171">
        <v>36750</v>
      </c>
      <c r="L16" s="171">
        <v>40750</v>
      </c>
      <c r="M16" s="171">
        <v>25750</v>
      </c>
      <c r="N16" s="171">
        <f>SUM(B16:M16)</f>
        <v>353100</v>
      </c>
      <c r="P16" s="171">
        <f>'2022 Full Staff'!N135</f>
        <v>260367.15694433497</v>
      </c>
    </row>
    <row r="19" spans="1:6">
      <c r="F19" s="288" t="s">
        <v>287</v>
      </c>
    </row>
    <row r="22" spans="1:6">
      <c r="A22" s="3" t="s">
        <v>288</v>
      </c>
    </row>
    <row r="23" spans="1:6">
      <c r="A23" s="3">
        <v>2020</v>
      </c>
      <c r="B23" s="288" t="s">
        <v>289</v>
      </c>
    </row>
    <row r="24" spans="1:6">
      <c r="B24" s="288" t="s">
        <v>290</v>
      </c>
    </row>
    <row r="25" spans="1:6">
      <c r="B25" s="288" t="s">
        <v>291</v>
      </c>
    </row>
    <row r="26" spans="1:6">
      <c r="B26" s="288" t="s">
        <v>292</v>
      </c>
    </row>
    <row r="27" spans="1:6">
      <c r="A27" s="3">
        <v>2021</v>
      </c>
      <c r="B27" s="288" t="s">
        <v>293</v>
      </c>
    </row>
    <row r="28" spans="1:6">
      <c r="B28" s="288" t="s">
        <v>294</v>
      </c>
    </row>
    <row r="29" spans="1:6">
      <c r="B29" s="288" t="s">
        <v>291</v>
      </c>
    </row>
    <row r="30" spans="1:6">
      <c r="B30" s="288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936A-C9ED-CE4F-92C4-0655D437CADE}">
  <dimension ref="A1:AO147"/>
  <sheetViews>
    <sheetView zoomScale="170" zoomScaleNormal="170" zoomScalePageLayoutView="150" workbookViewId="0">
      <pane xSplit="1" ySplit="3" topLeftCell="B130" activePane="bottomRight" state="frozen"/>
      <selection pane="topRight" activeCell="AW1" sqref="AW1"/>
      <selection pane="bottomLeft" activeCell="A4" sqref="A4"/>
      <selection pane="bottomRight" activeCell="G126" sqref="G126"/>
    </sheetView>
  </sheetViews>
  <sheetFormatPr baseColWidth="10" defaultColWidth="8.83203125" defaultRowHeight="15"/>
  <cols>
    <col min="1" max="1" width="33.6640625" style="429" bestFit="1" customWidth="1"/>
    <col min="2" max="2" width="10.1640625" style="121" bestFit="1" customWidth="1"/>
    <col min="3" max="12" width="10.1640625" style="121" customWidth="1"/>
    <col min="13" max="13" width="10.1640625" style="668" bestFit="1" customWidth="1"/>
    <col min="14" max="14" width="13.83203125" style="392" bestFit="1" customWidth="1"/>
    <col min="15" max="15" width="13.83203125" style="393" bestFit="1" customWidth="1"/>
    <col min="16" max="17" width="11.1640625" style="133" hidden="1" customWidth="1"/>
    <col min="18" max="18" width="16" style="133" customWidth="1"/>
    <col min="19" max="19" width="15.1640625" style="394" customWidth="1"/>
    <col min="20" max="20" width="20.6640625" style="512" customWidth="1"/>
    <col min="21" max="16384" width="8.83203125" style="121"/>
  </cols>
  <sheetData>
    <row r="1" spans="1:20" ht="26">
      <c r="A1" s="417"/>
      <c r="B1" s="377"/>
      <c r="C1" s="294"/>
      <c r="D1" s="294"/>
      <c r="E1" s="294"/>
      <c r="F1" s="294"/>
      <c r="G1" s="366" t="s">
        <v>112</v>
      </c>
      <c r="H1" s="294"/>
      <c r="I1" s="294"/>
      <c r="J1" s="294"/>
      <c r="K1" s="377"/>
      <c r="L1" s="294"/>
      <c r="M1" s="650"/>
      <c r="T1" s="501"/>
    </row>
    <row r="2" spans="1:20" ht="23" customHeight="1">
      <c r="A2" s="418"/>
      <c r="B2" s="381"/>
      <c r="C2" s="297"/>
      <c r="D2" s="297"/>
      <c r="E2" s="381"/>
      <c r="F2" s="297"/>
      <c r="G2" s="297"/>
      <c r="H2" s="297"/>
      <c r="I2" s="297"/>
      <c r="J2" s="297"/>
      <c r="K2" s="297"/>
      <c r="L2" s="297"/>
      <c r="M2" s="651"/>
      <c r="T2" s="501"/>
    </row>
    <row r="3" spans="1:20" s="638" customFormat="1" ht="27" thickBot="1">
      <c r="A3" s="434"/>
      <c r="B3" s="435">
        <v>44197</v>
      </c>
      <c r="C3" s="435">
        <v>44228</v>
      </c>
      <c r="D3" s="435">
        <v>44256</v>
      </c>
      <c r="E3" s="435">
        <v>44287</v>
      </c>
      <c r="F3" s="435">
        <v>44317</v>
      </c>
      <c r="G3" s="435">
        <v>44348</v>
      </c>
      <c r="H3" s="435">
        <v>44378</v>
      </c>
      <c r="I3" s="435">
        <v>44409</v>
      </c>
      <c r="J3" s="435">
        <v>44440</v>
      </c>
      <c r="K3" s="435">
        <v>44470</v>
      </c>
      <c r="L3" s="435">
        <v>44501</v>
      </c>
      <c r="M3" s="652">
        <v>44531</v>
      </c>
      <c r="N3" s="640" t="s">
        <v>112</v>
      </c>
      <c r="O3" s="636" t="s">
        <v>113</v>
      </c>
      <c r="P3" s="637" t="s">
        <v>114</v>
      </c>
      <c r="Q3" s="637" t="s">
        <v>115</v>
      </c>
      <c r="R3" s="637" t="s">
        <v>228</v>
      </c>
      <c r="S3" s="433" t="s">
        <v>239</v>
      </c>
      <c r="T3" s="490"/>
    </row>
    <row r="4" spans="1:20" s="267" customFormat="1" ht="13">
      <c r="A4" s="419" t="s">
        <v>9</v>
      </c>
      <c r="B4" s="41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653"/>
      <c r="N4" s="468"/>
      <c r="O4" s="397"/>
      <c r="P4" s="133"/>
      <c r="Q4" s="133"/>
      <c r="R4" s="133"/>
      <c r="S4" s="398">
        <f>O4-R4</f>
        <v>0</v>
      </c>
      <c r="T4" s="500"/>
    </row>
    <row r="5" spans="1:20" s="267" customFormat="1" ht="13">
      <c r="A5" s="419" t="s">
        <v>10</v>
      </c>
      <c r="B5" s="27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654"/>
      <c r="N5" s="468"/>
      <c r="O5" s="397"/>
      <c r="P5" s="271"/>
      <c r="Q5" s="133"/>
      <c r="R5" s="133"/>
      <c r="S5" s="398">
        <f t="shared" ref="S5:S69" si="0">O5-R5</f>
        <v>0</v>
      </c>
      <c r="T5" s="500"/>
    </row>
    <row r="6" spans="1:20" s="267" customFormat="1" ht="13">
      <c r="A6" s="420" t="s">
        <v>11</v>
      </c>
      <c r="B6" s="278">
        <f>0</f>
        <v>0</v>
      </c>
      <c r="C6" s="271">
        <f>0</f>
        <v>0</v>
      </c>
      <c r="D6" s="271">
        <f>0</f>
        <v>0</v>
      </c>
      <c r="E6" s="271">
        <f>0</f>
        <v>0</v>
      </c>
      <c r="F6" s="271">
        <f>0</f>
        <v>0</v>
      </c>
      <c r="G6" s="271">
        <f>0</f>
        <v>0</v>
      </c>
      <c r="H6" s="271">
        <f>0</f>
        <v>0</v>
      </c>
      <c r="I6" s="271">
        <f>0</f>
        <v>0</v>
      </c>
      <c r="J6" s="271">
        <f>0</f>
        <v>0</v>
      </c>
      <c r="K6" s="271">
        <f>0</f>
        <v>0</v>
      </c>
      <c r="L6" s="271">
        <f>0</f>
        <v>0</v>
      </c>
      <c r="M6" s="654">
        <f>0</f>
        <v>0</v>
      </c>
      <c r="N6" s="468">
        <f t="shared" ref="N6:N11" si="1">SUM(B6:M6)</f>
        <v>0</v>
      </c>
      <c r="O6" s="397">
        <v>0</v>
      </c>
      <c r="P6" s="271">
        <v>0</v>
      </c>
      <c r="Q6" s="274">
        <f>N6-P6</f>
        <v>0</v>
      </c>
      <c r="R6" s="397">
        <v>0</v>
      </c>
      <c r="S6" s="398">
        <f t="shared" si="0"/>
        <v>0</v>
      </c>
      <c r="T6" s="500"/>
    </row>
    <row r="7" spans="1:20" s="267" customFormat="1" ht="13">
      <c r="A7" s="420" t="s">
        <v>118</v>
      </c>
      <c r="B7" s="678">
        <v>0</v>
      </c>
      <c r="C7" s="678">
        <v>0</v>
      </c>
      <c r="D7" s="678">
        <v>0</v>
      </c>
      <c r="E7" s="678">
        <v>0</v>
      </c>
      <c r="F7" s="679">
        <v>10000</v>
      </c>
      <c r="G7" s="679">
        <v>0</v>
      </c>
      <c r="H7" s="679">
        <v>1100</v>
      </c>
      <c r="I7" s="679">
        <v>600</v>
      </c>
      <c r="J7" s="679">
        <v>600</v>
      </c>
      <c r="K7" s="679">
        <v>1100</v>
      </c>
      <c r="L7" s="679">
        <v>10000</v>
      </c>
      <c r="M7" s="680">
        <v>10000</v>
      </c>
      <c r="N7" s="468">
        <f t="shared" si="1"/>
        <v>33400</v>
      </c>
      <c r="O7" s="397">
        <v>47000</v>
      </c>
      <c r="P7" s="271"/>
      <c r="Q7" s="274">
        <f t="shared" ref="Q7:Q23" si="2">N7-P7</f>
        <v>33400</v>
      </c>
      <c r="R7" s="397">
        <v>47000</v>
      </c>
      <c r="S7" s="398">
        <f t="shared" si="0"/>
        <v>0</v>
      </c>
      <c r="T7" s="500"/>
    </row>
    <row r="8" spans="1:20" s="267" customFormat="1" ht="13">
      <c r="A8" s="420" t="s">
        <v>13</v>
      </c>
      <c r="B8" s="278">
        <v>0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654">
        <v>0</v>
      </c>
      <c r="N8" s="468">
        <f t="shared" si="1"/>
        <v>0</v>
      </c>
      <c r="O8" s="397">
        <v>0</v>
      </c>
      <c r="P8" s="271">
        <v>5000</v>
      </c>
      <c r="Q8" s="274">
        <f t="shared" si="2"/>
        <v>-5000</v>
      </c>
      <c r="R8" s="397">
        <v>0</v>
      </c>
      <c r="S8" s="398">
        <f t="shared" si="0"/>
        <v>0</v>
      </c>
      <c r="T8" s="500"/>
    </row>
    <row r="9" spans="1:20" s="267" customFormat="1" ht="12">
      <c r="A9" s="421" t="s">
        <v>119</v>
      </c>
      <c r="B9" s="278">
        <v>1250</v>
      </c>
      <c r="C9" s="271">
        <v>1250</v>
      </c>
      <c r="D9" s="271">
        <v>2500</v>
      </c>
      <c r="E9" s="271">
        <v>1250</v>
      </c>
      <c r="F9" s="271">
        <v>1250</v>
      </c>
      <c r="G9" s="271">
        <v>7500</v>
      </c>
      <c r="H9" s="271">
        <v>1250</v>
      </c>
      <c r="I9" s="271">
        <v>1250</v>
      </c>
      <c r="J9" s="271">
        <f>1250+10000</f>
        <v>11250</v>
      </c>
      <c r="K9" s="271">
        <v>1250</v>
      </c>
      <c r="L9" s="271">
        <v>1250</v>
      </c>
      <c r="M9" s="654">
        <v>3750</v>
      </c>
      <c r="N9" s="468">
        <f t="shared" si="1"/>
        <v>35000</v>
      </c>
      <c r="O9" s="399">
        <v>40000</v>
      </c>
      <c r="P9" s="271">
        <v>77000</v>
      </c>
      <c r="Q9" s="274">
        <f t="shared" si="2"/>
        <v>-42000</v>
      </c>
      <c r="R9" s="399">
        <v>40000</v>
      </c>
      <c r="S9" s="398">
        <f t="shared" si="0"/>
        <v>0</v>
      </c>
      <c r="T9" s="500"/>
    </row>
    <row r="10" spans="1:20" s="267" customFormat="1" ht="15" customHeight="1">
      <c r="A10" s="420" t="s">
        <v>121</v>
      </c>
      <c r="B10" s="278">
        <v>20000</v>
      </c>
      <c r="C10" s="271">
        <v>14700</v>
      </c>
      <c r="D10" s="271">
        <v>14400</v>
      </c>
      <c r="E10" s="271">
        <v>6600</v>
      </c>
      <c r="F10" s="271">
        <v>8700</v>
      </c>
      <c r="G10" s="271">
        <v>7900</v>
      </c>
      <c r="H10" s="271">
        <v>5500</v>
      </c>
      <c r="I10" s="271">
        <v>35000</v>
      </c>
      <c r="J10" s="271">
        <v>3800</v>
      </c>
      <c r="K10" s="271">
        <v>100000</v>
      </c>
      <c r="L10" s="271">
        <v>15000</v>
      </c>
      <c r="M10" s="654">
        <v>35000</v>
      </c>
      <c r="N10" s="468">
        <f t="shared" si="1"/>
        <v>266600</v>
      </c>
      <c r="O10" s="397">
        <v>236600</v>
      </c>
      <c r="P10" s="271">
        <v>697365.77</v>
      </c>
      <c r="Q10" s="274">
        <f t="shared" si="2"/>
        <v>-430765.77</v>
      </c>
      <c r="R10" s="397">
        <v>236600</v>
      </c>
      <c r="S10" s="398">
        <f t="shared" si="0"/>
        <v>0</v>
      </c>
      <c r="T10" s="500"/>
    </row>
    <row r="11" spans="1:20" s="267" customFormat="1" ht="13">
      <c r="A11" s="437" t="s">
        <v>19</v>
      </c>
      <c r="B11" s="276">
        <f t="shared" ref="B11:M11" si="3">SUM(B6:B10)</f>
        <v>21250</v>
      </c>
      <c r="C11" s="276">
        <f t="shared" si="3"/>
        <v>15950</v>
      </c>
      <c r="D11" s="276">
        <f t="shared" si="3"/>
        <v>16900</v>
      </c>
      <c r="E11" s="276">
        <f t="shared" si="3"/>
        <v>7850</v>
      </c>
      <c r="F11" s="276">
        <f t="shared" si="3"/>
        <v>19950</v>
      </c>
      <c r="G11" s="276">
        <f t="shared" si="3"/>
        <v>15400</v>
      </c>
      <c r="H11" s="276">
        <f t="shared" si="3"/>
        <v>7850</v>
      </c>
      <c r="I11" s="276">
        <f t="shared" si="3"/>
        <v>36850</v>
      </c>
      <c r="J11" s="276">
        <f t="shared" si="3"/>
        <v>15650</v>
      </c>
      <c r="K11" s="276">
        <f t="shared" si="3"/>
        <v>102350</v>
      </c>
      <c r="L11" s="276">
        <f t="shared" si="3"/>
        <v>26250</v>
      </c>
      <c r="M11" s="655">
        <f t="shared" si="3"/>
        <v>48750</v>
      </c>
      <c r="N11" s="641">
        <f t="shared" si="1"/>
        <v>335000</v>
      </c>
      <c r="O11" s="440">
        <f>SUM(O6:O10)</f>
        <v>323600</v>
      </c>
      <c r="P11" s="276">
        <v>779365.77</v>
      </c>
      <c r="Q11" s="275">
        <f t="shared" si="2"/>
        <v>-444365.77</v>
      </c>
      <c r="R11" s="440">
        <f>SUM(R6:R10)</f>
        <v>323600</v>
      </c>
      <c r="S11" s="398">
        <f t="shared" si="0"/>
        <v>0</v>
      </c>
      <c r="T11" s="500"/>
    </row>
    <row r="12" spans="1:20" s="267" customFormat="1" ht="6" customHeight="1">
      <c r="A12" s="420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656"/>
      <c r="N12" s="468"/>
      <c r="O12" s="397"/>
      <c r="P12" s="133"/>
      <c r="Q12" s="274"/>
      <c r="R12" s="397"/>
      <c r="S12" s="398">
        <f t="shared" si="0"/>
        <v>0</v>
      </c>
      <c r="T12" s="500"/>
    </row>
    <row r="13" spans="1:20" s="267" customFormat="1" ht="13">
      <c r="A13" s="419" t="s">
        <v>122</v>
      </c>
      <c r="B13" s="278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654"/>
      <c r="N13" s="468"/>
      <c r="O13" s="397"/>
      <c r="P13" s="271"/>
      <c r="Q13" s="274"/>
      <c r="R13" s="397"/>
      <c r="S13" s="398">
        <f t="shared" si="0"/>
        <v>0</v>
      </c>
      <c r="T13" s="500"/>
    </row>
    <row r="14" spans="1:20" s="267" customFormat="1" ht="13">
      <c r="A14" s="420" t="s">
        <v>21</v>
      </c>
      <c r="B14" s="278">
        <v>0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17000</v>
      </c>
      <c r="I14" s="271">
        <v>17000</v>
      </c>
      <c r="J14" s="271">
        <v>17000</v>
      </c>
      <c r="K14" s="271">
        <v>17000</v>
      </c>
      <c r="L14" s="271">
        <v>0</v>
      </c>
      <c r="M14" s="654">
        <f>0</f>
        <v>0</v>
      </c>
      <c r="N14" s="468">
        <f>SUM(B14:M14)</f>
        <v>68000</v>
      </c>
      <c r="O14" s="397">
        <v>102000</v>
      </c>
      <c r="P14" s="271"/>
      <c r="Q14" s="274"/>
      <c r="R14" s="523">
        <v>102000</v>
      </c>
      <c r="S14" s="398">
        <f t="shared" si="0"/>
        <v>0</v>
      </c>
      <c r="T14" s="500"/>
    </row>
    <row r="15" spans="1:20" s="267" customFormat="1" ht="13">
      <c r="A15" s="419" t="s">
        <v>124</v>
      </c>
      <c r="B15" s="278">
        <v>0</v>
      </c>
      <c r="C15" s="271">
        <f>0</f>
        <v>0</v>
      </c>
      <c r="D15" s="271">
        <v>0</v>
      </c>
      <c r="E15" s="271">
        <v>0</v>
      </c>
      <c r="F15" s="271">
        <v>0</v>
      </c>
      <c r="G15" s="271">
        <f>0</f>
        <v>0</v>
      </c>
      <c r="H15" s="271">
        <v>10000</v>
      </c>
      <c r="I15" s="271">
        <f>0</f>
        <v>0</v>
      </c>
      <c r="J15" s="271">
        <v>10000</v>
      </c>
      <c r="K15" s="271">
        <f>0</f>
        <v>0</v>
      </c>
      <c r="L15" s="271">
        <f>0</f>
        <v>0</v>
      </c>
      <c r="M15" s="654">
        <f>0</f>
        <v>0</v>
      </c>
      <c r="N15" s="468">
        <f>SUM(B15:M15)</f>
        <v>20000</v>
      </c>
      <c r="O15" s="397">
        <v>30000</v>
      </c>
      <c r="P15" s="271"/>
      <c r="Q15" s="274"/>
      <c r="R15" s="397">
        <v>30000</v>
      </c>
      <c r="S15" s="398">
        <f t="shared" si="0"/>
        <v>0</v>
      </c>
      <c r="T15" s="500"/>
    </row>
    <row r="16" spans="1:20" s="267" customFormat="1" ht="13">
      <c r="A16" s="420" t="s">
        <v>25</v>
      </c>
      <c r="B16" s="278">
        <v>0</v>
      </c>
      <c r="C16" s="271">
        <f>0</f>
        <v>0</v>
      </c>
      <c r="D16" s="271">
        <f>0</f>
        <v>0</v>
      </c>
      <c r="E16" s="271">
        <f>0</f>
        <v>0</v>
      </c>
      <c r="F16" s="271">
        <v>0</v>
      </c>
      <c r="G16" s="278">
        <f>0</f>
        <v>0</v>
      </c>
      <c r="H16" s="271">
        <f>0</f>
        <v>0</v>
      </c>
      <c r="I16" s="271">
        <f>0</f>
        <v>0</v>
      </c>
      <c r="J16" s="271">
        <f>0</f>
        <v>0</v>
      </c>
      <c r="K16" s="271">
        <f>0</f>
        <v>0</v>
      </c>
      <c r="L16" s="271">
        <f>0</f>
        <v>0</v>
      </c>
      <c r="M16" s="654">
        <f>0</f>
        <v>0</v>
      </c>
      <c r="N16" s="468">
        <f>SUM(B16:M16)</f>
        <v>0</v>
      </c>
      <c r="O16" s="397">
        <v>0</v>
      </c>
      <c r="P16" s="271"/>
      <c r="Q16" s="274"/>
      <c r="R16" s="397">
        <v>0</v>
      </c>
      <c r="S16" s="398">
        <f t="shared" si="0"/>
        <v>0</v>
      </c>
      <c r="T16" s="500"/>
    </row>
    <row r="17" spans="1:20" s="368" customFormat="1" ht="13">
      <c r="A17" s="419" t="s">
        <v>125</v>
      </c>
      <c r="B17" s="276">
        <f>SUM(B14:B16)</f>
        <v>0</v>
      </c>
      <c r="C17" s="276">
        <f t="shared" ref="C17:M17" si="4">SUM(C14:C16)</f>
        <v>0</v>
      </c>
      <c r="D17" s="276">
        <f t="shared" si="4"/>
        <v>0</v>
      </c>
      <c r="E17" s="276">
        <f t="shared" si="4"/>
        <v>0</v>
      </c>
      <c r="F17" s="276">
        <f t="shared" si="4"/>
        <v>0</v>
      </c>
      <c r="G17" s="276">
        <f t="shared" si="4"/>
        <v>0</v>
      </c>
      <c r="H17" s="276">
        <f t="shared" si="4"/>
        <v>27000</v>
      </c>
      <c r="I17" s="276">
        <f t="shared" si="4"/>
        <v>17000</v>
      </c>
      <c r="J17" s="276">
        <f t="shared" si="4"/>
        <v>27000</v>
      </c>
      <c r="K17" s="276">
        <f t="shared" si="4"/>
        <v>17000</v>
      </c>
      <c r="L17" s="276">
        <f t="shared" si="4"/>
        <v>0</v>
      </c>
      <c r="M17" s="655">
        <f t="shared" si="4"/>
        <v>0</v>
      </c>
      <c r="N17" s="641">
        <f>SUM(B17:M17)</f>
        <v>88000</v>
      </c>
      <c r="O17" s="440">
        <f>SUM(O14:O16)</f>
        <v>132000</v>
      </c>
      <c r="P17" s="276"/>
      <c r="Q17" s="276"/>
      <c r="R17" s="440">
        <f>SUM(R14:R16)</f>
        <v>132000</v>
      </c>
      <c r="S17" s="398">
        <f t="shared" si="0"/>
        <v>0</v>
      </c>
      <c r="T17" s="502"/>
    </row>
    <row r="18" spans="1:20" s="267" customFormat="1" ht="6" customHeight="1">
      <c r="A18" s="420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656"/>
      <c r="N18" s="468"/>
      <c r="O18" s="397"/>
      <c r="P18" s="272"/>
      <c r="Q18" s="274"/>
      <c r="R18" s="397"/>
      <c r="S18" s="398">
        <f t="shared" si="0"/>
        <v>0</v>
      </c>
      <c r="T18" s="500"/>
    </row>
    <row r="19" spans="1:20" s="267" customFormat="1" ht="13">
      <c r="A19" s="419" t="s">
        <v>27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654"/>
      <c r="N19" s="468"/>
      <c r="O19" s="397"/>
      <c r="P19" s="271"/>
      <c r="Q19" s="274"/>
      <c r="R19" s="397"/>
      <c r="S19" s="398">
        <f t="shared" si="0"/>
        <v>0</v>
      </c>
      <c r="T19" s="500"/>
    </row>
    <row r="20" spans="1:20" s="267" customFormat="1" ht="13">
      <c r="A20" s="420" t="s">
        <v>126</v>
      </c>
      <c r="B20" s="278">
        <f>0</f>
        <v>0</v>
      </c>
      <c r="C20" s="271">
        <f>0</f>
        <v>0</v>
      </c>
      <c r="D20" s="271">
        <v>0</v>
      </c>
      <c r="E20" s="271">
        <v>0</v>
      </c>
      <c r="F20" s="271">
        <f>0</f>
        <v>0</v>
      </c>
      <c r="G20" s="271">
        <f>0</f>
        <v>0</v>
      </c>
      <c r="H20" s="271">
        <f>0</f>
        <v>0</v>
      </c>
      <c r="I20" s="271">
        <f>0</f>
        <v>0</v>
      </c>
      <c r="J20" s="271">
        <f>0</f>
        <v>0</v>
      </c>
      <c r="K20" s="271">
        <f>0</f>
        <v>0</v>
      </c>
      <c r="L20" s="271">
        <f>0</f>
        <v>0</v>
      </c>
      <c r="M20" s="654">
        <f>0</f>
        <v>0</v>
      </c>
      <c r="N20" s="468">
        <f>SUM(B20:M20)</f>
        <v>0</v>
      </c>
      <c r="O20" s="397">
        <v>0</v>
      </c>
      <c r="P20" s="271">
        <v>-651.64999999999986</v>
      </c>
      <c r="Q20" s="274">
        <f t="shared" si="2"/>
        <v>651.64999999999986</v>
      </c>
      <c r="R20" s="397">
        <v>0</v>
      </c>
      <c r="S20" s="398">
        <f t="shared" si="0"/>
        <v>0</v>
      </c>
      <c r="T20" s="500"/>
    </row>
    <row r="21" spans="1:20" s="267" customFormat="1" ht="13">
      <c r="A21" s="420" t="s">
        <v>127</v>
      </c>
      <c r="B21" s="681">
        <v>0</v>
      </c>
      <c r="C21" s="681">
        <v>0</v>
      </c>
      <c r="D21" s="681">
        <v>0</v>
      </c>
      <c r="E21" s="681">
        <v>0</v>
      </c>
      <c r="F21" s="681">
        <v>0</v>
      </c>
      <c r="G21" s="681">
        <v>0</v>
      </c>
      <c r="H21" s="681">
        <v>0</v>
      </c>
      <c r="I21" s="681">
        <v>0</v>
      </c>
      <c r="J21" s="681">
        <v>0</v>
      </c>
      <c r="K21" s="681">
        <v>0</v>
      </c>
      <c r="L21" s="681">
        <v>0</v>
      </c>
      <c r="M21" s="682">
        <v>0</v>
      </c>
      <c r="N21" s="468">
        <f>SUM(B21:M21)</f>
        <v>0</v>
      </c>
      <c r="O21" s="397">
        <v>4200</v>
      </c>
      <c r="P21" s="274"/>
      <c r="Q21" s="274">
        <f t="shared" si="2"/>
        <v>0</v>
      </c>
      <c r="R21" s="397">
        <v>4200</v>
      </c>
      <c r="S21" s="398">
        <f t="shared" si="0"/>
        <v>0</v>
      </c>
      <c r="T21" s="500"/>
    </row>
    <row r="22" spans="1:20" s="267" customFormat="1" ht="13">
      <c r="A22" s="420" t="s">
        <v>128</v>
      </c>
      <c r="B22" s="278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657"/>
      <c r="N22" s="468">
        <f>SUM(B22:M22)</f>
        <v>0</v>
      </c>
      <c r="O22" s="397">
        <v>0</v>
      </c>
      <c r="P22" s="274"/>
      <c r="Q22" s="274">
        <f t="shared" si="2"/>
        <v>0</v>
      </c>
      <c r="R22" s="397">
        <v>0</v>
      </c>
      <c r="S22" s="398">
        <f t="shared" si="0"/>
        <v>0</v>
      </c>
      <c r="T22" s="500"/>
    </row>
    <row r="23" spans="1:20" s="267" customFormat="1" ht="13">
      <c r="A23" s="422" t="s">
        <v>29</v>
      </c>
      <c r="B23" s="276">
        <f>SUM(B19:B22)</f>
        <v>0</v>
      </c>
      <c r="C23" s="276">
        <f>SUM(C20:C22)</f>
        <v>0</v>
      </c>
      <c r="D23" s="276">
        <f t="shared" ref="D23:M23" si="5">SUM(D20:D22)</f>
        <v>0</v>
      </c>
      <c r="E23" s="276">
        <f t="shared" si="5"/>
        <v>0</v>
      </c>
      <c r="F23" s="276">
        <f t="shared" si="5"/>
        <v>0</v>
      </c>
      <c r="G23" s="276">
        <f t="shared" si="5"/>
        <v>0</v>
      </c>
      <c r="H23" s="276">
        <f>SUM(H19:H22)</f>
        <v>0</v>
      </c>
      <c r="I23" s="276">
        <f t="shared" si="5"/>
        <v>0</v>
      </c>
      <c r="J23" s="276">
        <f t="shared" si="5"/>
        <v>0</v>
      </c>
      <c r="K23" s="276">
        <f t="shared" si="5"/>
        <v>0</v>
      </c>
      <c r="L23" s="276">
        <f t="shared" si="5"/>
        <v>0</v>
      </c>
      <c r="M23" s="655">
        <f t="shared" si="5"/>
        <v>0</v>
      </c>
      <c r="N23" s="641">
        <f>SUM(B23:M23)</f>
        <v>0</v>
      </c>
      <c r="O23" s="440">
        <f>SUM(O20:O22)</f>
        <v>4200</v>
      </c>
      <c r="P23" s="276">
        <v>-651.64999999999986</v>
      </c>
      <c r="Q23" s="276">
        <f t="shared" si="2"/>
        <v>651.64999999999986</v>
      </c>
      <c r="R23" s="440">
        <f>SUM(R20:R22)</f>
        <v>4200</v>
      </c>
      <c r="S23" s="398">
        <f t="shared" si="0"/>
        <v>0</v>
      </c>
      <c r="T23" s="500"/>
    </row>
    <row r="24" spans="1:20" s="267" customFormat="1" ht="6" customHeight="1">
      <c r="A24" s="420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656"/>
      <c r="N24" s="468"/>
      <c r="O24" s="397"/>
      <c r="P24" s="133"/>
      <c r="Q24" s="133"/>
      <c r="R24" s="133"/>
      <c r="S24" s="398">
        <f t="shared" si="0"/>
        <v>0</v>
      </c>
      <c r="T24" s="500"/>
    </row>
    <row r="25" spans="1:20" s="267" customFormat="1" ht="13">
      <c r="A25" s="419" t="s">
        <v>30</v>
      </c>
      <c r="B25" s="278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654"/>
      <c r="N25" s="468"/>
      <c r="O25" s="397"/>
      <c r="P25" s="133"/>
      <c r="Q25" s="133"/>
      <c r="R25" s="133"/>
      <c r="S25" s="398">
        <f t="shared" si="0"/>
        <v>0</v>
      </c>
      <c r="T25" s="500"/>
    </row>
    <row r="26" spans="1:20" s="267" customFormat="1" ht="13">
      <c r="A26" s="420" t="s">
        <v>31</v>
      </c>
      <c r="B26" s="278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654">
        <v>0</v>
      </c>
      <c r="N26" s="468">
        <f t="shared" ref="N26:N44" si="6">SUM(B26:M26)</f>
        <v>0</v>
      </c>
      <c r="O26" s="397">
        <v>0</v>
      </c>
      <c r="P26" s="271">
        <v>6.1899999999999995</v>
      </c>
      <c r="Q26" s="274">
        <f>N26-P26</f>
        <v>-6.1899999999999995</v>
      </c>
      <c r="R26" s="397">
        <v>0</v>
      </c>
      <c r="S26" s="398">
        <f t="shared" si="0"/>
        <v>0</v>
      </c>
      <c r="T26" s="500"/>
    </row>
    <row r="27" spans="1:20" s="267" customFormat="1" ht="13">
      <c r="A27" s="420" t="s">
        <v>129</v>
      </c>
      <c r="B27" s="278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654">
        <v>0</v>
      </c>
      <c r="N27" s="468">
        <f t="shared" si="6"/>
        <v>0</v>
      </c>
      <c r="O27" s="397">
        <v>0</v>
      </c>
      <c r="P27" s="271">
        <v>288.74999999999994</v>
      </c>
      <c r="Q27" s="274">
        <f t="shared" ref="Q27:Q44" si="7">N27-P27</f>
        <v>-288.74999999999994</v>
      </c>
      <c r="R27" s="397">
        <v>0</v>
      </c>
      <c r="S27" s="398">
        <f t="shared" si="0"/>
        <v>0</v>
      </c>
      <c r="T27" s="500"/>
    </row>
    <row r="28" spans="1:20" s="267" customFormat="1" ht="13">
      <c r="A28" s="420" t="s">
        <v>130</v>
      </c>
      <c r="B28" s="278">
        <v>0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654">
        <v>0</v>
      </c>
      <c r="N28" s="468">
        <f t="shared" si="6"/>
        <v>0</v>
      </c>
      <c r="O28" s="397">
        <v>0</v>
      </c>
      <c r="P28" s="271"/>
      <c r="Q28" s="274">
        <f t="shared" si="7"/>
        <v>0</v>
      </c>
      <c r="R28" s="397">
        <v>0</v>
      </c>
      <c r="S28" s="398">
        <f t="shared" si="0"/>
        <v>0</v>
      </c>
      <c r="T28" s="500"/>
    </row>
    <row r="29" spans="1:20" s="267" customFormat="1" ht="13" hidden="1">
      <c r="A29" s="420" t="s">
        <v>131</v>
      </c>
      <c r="B29" s="278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654"/>
      <c r="N29" s="468">
        <f t="shared" si="6"/>
        <v>0</v>
      </c>
      <c r="O29" s="397">
        <v>0</v>
      </c>
      <c r="P29" s="271">
        <v>152400.04</v>
      </c>
      <c r="Q29" s="274">
        <f t="shared" si="7"/>
        <v>-152400.04</v>
      </c>
      <c r="R29" s="397">
        <v>0</v>
      </c>
      <c r="S29" s="398">
        <f t="shared" si="0"/>
        <v>0</v>
      </c>
      <c r="T29" s="500"/>
    </row>
    <row r="30" spans="1:20" s="267" customFormat="1" ht="13" hidden="1">
      <c r="A30" s="420" t="s">
        <v>132</v>
      </c>
      <c r="B30" s="278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654"/>
      <c r="N30" s="468">
        <f t="shared" si="6"/>
        <v>0</v>
      </c>
      <c r="O30" s="397">
        <v>0</v>
      </c>
      <c r="P30" s="271">
        <v>0</v>
      </c>
      <c r="Q30" s="274">
        <f t="shared" si="7"/>
        <v>0</v>
      </c>
      <c r="R30" s="397">
        <v>0</v>
      </c>
      <c r="S30" s="398">
        <f t="shared" si="0"/>
        <v>0</v>
      </c>
      <c r="T30" s="500"/>
    </row>
    <row r="31" spans="1:20" s="267" customFormat="1" ht="13" hidden="1">
      <c r="A31" s="420" t="s">
        <v>133</v>
      </c>
      <c r="B31" s="278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654"/>
      <c r="N31" s="468">
        <f t="shared" si="6"/>
        <v>0</v>
      </c>
      <c r="O31" s="397">
        <v>0</v>
      </c>
      <c r="P31" s="271">
        <v>132000</v>
      </c>
      <c r="Q31" s="274">
        <f t="shared" si="7"/>
        <v>-132000</v>
      </c>
      <c r="R31" s="397">
        <v>0</v>
      </c>
      <c r="S31" s="398">
        <f t="shared" si="0"/>
        <v>0</v>
      </c>
      <c r="T31" s="500"/>
    </row>
    <row r="32" spans="1:20" s="267" customFormat="1" ht="13">
      <c r="A32" s="420" t="s">
        <v>39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654"/>
      <c r="N32" s="468"/>
      <c r="O32" s="397"/>
      <c r="P32" s="271">
        <v>99794.28</v>
      </c>
      <c r="Q32" s="274">
        <f t="shared" si="7"/>
        <v>-99794.28</v>
      </c>
      <c r="R32" s="397"/>
      <c r="S32" s="398">
        <f t="shared" si="0"/>
        <v>0</v>
      </c>
      <c r="T32" s="500"/>
    </row>
    <row r="33" spans="1:23" s="527" customFormat="1" ht="39">
      <c r="A33" s="519" t="s">
        <v>134</v>
      </c>
      <c r="B33" s="683">
        <v>0</v>
      </c>
      <c r="C33" s="683">
        <v>0</v>
      </c>
      <c r="D33" s="683">
        <v>0</v>
      </c>
      <c r="E33" s="683">
        <v>0</v>
      </c>
      <c r="F33" s="683">
        <v>0</v>
      </c>
      <c r="G33" s="683">
        <v>0</v>
      </c>
      <c r="H33" s="683">
        <v>0</v>
      </c>
      <c r="I33" s="683">
        <v>0</v>
      </c>
      <c r="J33" s="683">
        <v>0</v>
      </c>
      <c r="K33" s="683">
        <v>0</v>
      </c>
      <c r="L33" s="683">
        <v>0</v>
      </c>
      <c r="M33" s="684">
        <v>0</v>
      </c>
      <c r="N33" s="642">
        <f t="shared" ref="N33:N38" si="8">SUM(B33:M33)</f>
        <v>0</v>
      </c>
      <c r="O33" s="523">
        <v>1800</v>
      </c>
      <c r="P33" s="521"/>
      <c r="Q33" s="524"/>
      <c r="R33" s="523">
        <v>7200</v>
      </c>
      <c r="S33" s="525">
        <f t="shared" si="0"/>
        <v>-5400</v>
      </c>
      <c r="T33" s="526" t="s">
        <v>240</v>
      </c>
    </row>
    <row r="34" spans="1:23" s="527" customFormat="1" ht="39">
      <c r="A34" s="519" t="s">
        <v>135</v>
      </c>
      <c r="B34" s="683">
        <v>0</v>
      </c>
      <c r="C34" s="683">
        <v>0</v>
      </c>
      <c r="D34" s="683">
        <v>0</v>
      </c>
      <c r="E34" s="683">
        <v>0</v>
      </c>
      <c r="F34" s="683">
        <v>0</v>
      </c>
      <c r="G34" s="683">
        <v>0</v>
      </c>
      <c r="H34" s="683">
        <v>0</v>
      </c>
      <c r="I34" s="683">
        <v>0</v>
      </c>
      <c r="J34" s="683">
        <v>0</v>
      </c>
      <c r="K34" s="683">
        <v>0</v>
      </c>
      <c r="L34" s="683">
        <v>0</v>
      </c>
      <c r="M34" s="684">
        <v>0</v>
      </c>
      <c r="N34" s="642">
        <f t="shared" si="8"/>
        <v>0</v>
      </c>
      <c r="O34" s="523">
        <v>9000</v>
      </c>
      <c r="P34" s="521"/>
      <c r="Q34" s="524"/>
      <c r="R34" s="523">
        <v>25200</v>
      </c>
      <c r="S34" s="525">
        <f t="shared" si="0"/>
        <v>-16200</v>
      </c>
      <c r="T34" s="526" t="s">
        <v>241</v>
      </c>
    </row>
    <row r="35" spans="1:23" s="527" customFormat="1" ht="86" customHeight="1">
      <c r="A35" s="519" t="s">
        <v>136</v>
      </c>
      <c r="B35" s="690">
        <f>Assumptions!B6</f>
        <v>0</v>
      </c>
      <c r="C35" s="690">
        <f>'Lean Assumptions'!C6</f>
        <v>950</v>
      </c>
      <c r="D35" s="690">
        <f>'Lean Assumptions'!D6</f>
        <v>1140</v>
      </c>
      <c r="E35" s="690">
        <f>'Lean Assumptions'!E6</f>
        <v>1367.9999999999998</v>
      </c>
      <c r="F35" s="690">
        <f>'Lean Assumptions'!F6</f>
        <v>1641.5999999999997</v>
      </c>
      <c r="G35" s="690">
        <f>'Lean Assumptions'!G6</f>
        <v>1969.9199999999996</v>
      </c>
      <c r="H35" s="690">
        <f>'Lean Assumptions'!H6</f>
        <v>2363.9039999999995</v>
      </c>
      <c r="I35" s="690">
        <f>'Lean Assumptions'!I6</f>
        <v>2836.6847999999991</v>
      </c>
      <c r="J35" s="690">
        <f>'Lean Assumptions'!J6</f>
        <v>3404.0217599999987</v>
      </c>
      <c r="K35" s="690">
        <f>'Lean Assumptions'!K6</f>
        <v>4084.8261119999984</v>
      </c>
      <c r="L35" s="690">
        <f>'Lean Assumptions'!L6</f>
        <v>4901.791334399998</v>
      </c>
      <c r="M35" s="695">
        <f>'Lean Assumptions'!M6</f>
        <v>5882.1496012799971</v>
      </c>
      <c r="N35" s="642">
        <f t="shared" si="8"/>
        <v>30542.897607679992</v>
      </c>
      <c r="O35" s="523">
        <v>448000</v>
      </c>
      <c r="P35" s="521"/>
      <c r="Q35" s="524"/>
      <c r="R35" s="523">
        <v>1706000</v>
      </c>
      <c r="S35" s="525">
        <f t="shared" si="0"/>
        <v>-1258000</v>
      </c>
      <c r="T35" s="526" t="s">
        <v>242</v>
      </c>
    </row>
    <row r="36" spans="1:23" s="267" customFormat="1" ht="13">
      <c r="A36" s="420" t="s">
        <v>137</v>
      </c>
      <c r="B36" s="278">
        <f>'Lean Assumptions'!B8</f>
        <v>1140</v>
      </c>
      <c r="C36" s="278">
        <f>'Lean Assumptions'!C8</f>
        <v>2280</v>
      </c>
      <c r="D36" s="278">
        <f>'Lean Assumptions'!D8</f>
        <v>2280</v>
      </c>
      <c r="E36" s="278">
        <f>'Lean Assumptions'!E8</f>
        <v>2280</v>
      </c>
      <c r="F36" s="278">
        <f>'Lean Assumptions'!F8</f>
        <v>2280</v>
      </c>
      <c r="G36" s="278">
        <f>'Lean Assumptions'!G8</f>
        <v>2280</v>
      </c>
      <c r="H36" s="278">
        <f>'Lean Assumptions'!H8</f>
        <v>2280</v>
      </c>
      <c r="I36" s="278">
        <f>'Lean Assumptions'!I8</f>
        <v>2280</v>
      </c>
      <c r="J36" s="278">
        <f>'Lean Assumptions'!J8</f>
        <v>2280</v>
      </c>
      <c r="K36" s="278">
        <f>'Lean Assumptions'!K8</f>
        <v>2280</v>
      </c>
      <c r="L36" s="278">
        <f>'Lean Assumptions'!L8</f>
        <v>2280</v>
      </c>
      <c r="M36" s="695">
        <f>'Lean Assumptions'!M8</f>
        <v>2280</v>
      </c>
      <c r="N36" s="468">
        <f>SUM(B36:M36)</f>
        <v>26220</v>
      </c>
      <c r="O36" s="397">
        <v>36000</v>
      </c>
      <c r="P36" s="271">
        <v>15873</v>
      </c>
      <c r="Q36" s="274">
        <f t="shared" si="7"/>
        <v>10347</v>
      </c>
      <c r="R36" s="397">
        <v>151200</v>
      </c>
      <c r="S36" s="398">
        <f t="shared" si="0"/>
        <v>-115200</v>
      </c>
      <c r="T36" s="500"/>
    </row>
    <row r="37" spans="1:23" s="527" customFormat="1" ht="26">
      <c r="A37" s="519" t="s">
        <v>243</v>
      </c>
      <c r="B37" s="520">
        <v>6000</v>
      </c>
      <c r="C37" s="520">
        <v>1500</v>
      </c>
      <c r="D37" s="520">
        <v>1500</v>
      </c>
      <c r="E37" s="520">
        <v>1500</v>
      </c>
      <c r="F37" s="520">
        <v>0</v>
      </c>
      <c r="G37" s="520">
        <v>0</v>
      </c>
      <c r="H37" s="520">
        <v>0</v>
      </c>
      <c r="I37" s="521">
        <v>0</v>
      </c>
      <c r="J37" s="521">
        <v>0</v>
      </c>
      <c r="K37" s="521">
        <v>0</v>
      </c>
      <c r="L37" s="521">
        <v>0</v>
      </c>
      <c r="M37" s="658">
        <v>0</v>
      </c>
      <c r="N37" s="642">
        <f t="shared" si="8"/>
        <v>10500</v>
      </c>
      <c r="O37" s="523">
        <v>87000</v>
      </c>
      <c r="P37" s="521"/>
      <c r="Q37" s="524"/>
      <c r="R37" s="523">
        <v>174000</v>
      </c>
      <c r="S37" s="525">
        <f t="shared" si="0"/>
        <v>-87000</v>
      </c>
      <c r="T37" s="526" t="s">
        <v>244</v>
      </c>
    </row>
    <row r="38" spans="1:23" s="267" customFormat="1" ht="13">
      <c r="A38" s="420" t="s">
        <v>139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654">
        <v>0</v>
      </c>
      <c r="N38" s="468">
        <f t="shared" si="8"/>
        <v>0</v>
      </c>
      <c r="O38" s="397">
        <v>0</v>
      </c>
      <c r="P38" s="271"/>
      <c r="Q38" s="274">
        <f>N38-P38</f>
        <v>0</v>
      </c>
      <c r="R38" s="397">
        <v>0</v>
      </c>
      <c r="S38" s="398">
        <f t="shared" si="0"/>
        <v>0</v>
      </c>
      <c r="T38" s="500"/>
    </row>
    <row r="39" spans="1:23" s="267" customFormat="1" ht="12">
      <c r="A39" s="420"/>
      <c r="B39" s="278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654"/>
      <c r="N39" s="468"/>
      <c r="O39" s="397"/>
      <c r="P39" s="271"/>
      <c r="Q39" s="274"/>
      <c r="R39" s="397"/>
      <c r="S39" s="398">
        <f t="shared" si="0"/>
        <v>0</v>
      </c>
      <c r="T39" s="500"/>
    </row>
    <row r="40" spans="1:23" s="267" customFormat="1" ht="13">
      <c r="A40" s="420" t="s">
        <v>140</v>
      </c>
      <c r="B40" s="367">
        <v>0</v>
      </c>
      <c r="C40" s="278">
        <v>0</v>
      </c>
      <c r="D40" s="271">
        <v>0</v>
      </c>
      <c r="E40" s="271">
        <v>0</v>
      </c>
      <c r="F40" s="271">
        <v>-10000</v>
      </c>
      <c r="G40" s="271">
        <v>0</v>
      </c>
      <c r="H40" s="271">
        <v>0</v>
      </c>
      <c r="I40" s="271">
        <v>0</v>
      </c>
      <c r="J40" s="271">
        <v>-10000</v>
      </c>
      <c r="K40" s="271">
        <v>0</v>
      </c>
      <c r="L40" s="271">
        <v>0</v>
      </c>
      <c r="M40" s="654">
        <v>0</v>
      </c>
      <c r="N40" s="468">
        <f>SUM(B40:M40)</f>
        <v>-20000</v>
      </c>
      <c r="O40" s="397">
        <v>-20000</v>
      </c>
      <c r="P40" s="271"/>
      <c r="Q40" s="274"/>
      <c r="R40" s="397">
        <v>-20000</v>
      </c>
      <c r="S40" s="398">
        <f t="shared" si="0"/>
        <v>0</v>
      </c>
      <c r="T40" s="500"/>
    </row>
    <row r="41" spans="1:23" s="267" customFormat="1" ht="13">
      <c r="A41" s="420" t="s">
        <v>141</v>
      </c>
      <c r="B41" s="278">
        <v>0</v>
      </c>
      <c r="C41" s="278">
        <v>0</v>
      </c>
      <c r="D41" s="278">
        <v>7500</v>
      </c>
      <c r="E41" s="278">
        <v>0</v>
      </c>
      <c r="F41" s="271">
        <v>0</v>
      </c>
      <c r="G41" s="271">
        <v>7500</v>
      </c>
      <c r="H41" s="271">
        <v>0</v>
      </c>
      <c r="I41" s="271">
        <v>0</v>
      </c>
      <c r="J41" s="271">
        <v>7500</v>
      </c>
      <c r="K41" s="271">
        <v>0</v>
      </c>
      <c r="L41" s="271">
        <v>0</v>
      </c>
      <c r="M41" s="654">
        <v>7500</v>
      </c>
      <c r="N41" s="468">
        <f t="shared" si="6"/>
        <v>30000</v>
      </c>
      <c r="O41" s="397">
        <v>22500</v>
      </c>
      <c r="P41" s="271"/>
      <c r="Q41" s="274">
        <f t="shared" si="7"/>
        <v>30000</v>
      </c>
      <c r="R41" s="397">
        <v>22500</v>
      </c>
      <c r="S41" s="398">
        <f t="shared" si="0"/>
        <v>0</v>
      </c>
      <c r="T41" s="500"/>
    </row>
    <row r="42" spans="1:23" s="267" customFormat="1" ht="13">
      <c r="A42" s="420" t="s">
        <v>142</v>
      </c>
      <c r="B42" s="278">
        <v>0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78">
        <v>0</v>
      </c>
      <c r="I42" s="278">
        <v>0</v>
      </c>
      <c r="J42" s="278">
        <v>300</v>
      </c>
      <c r="K42" s="278">
        <v>300</v>
      </c>
      <c r="L42" s="278">
        <v>300</v>
      </c>
      <c r="M42" s="654">
        <v>300</v>
      </c>
      <c r="N42" s="443">
        <f>SUM(B42:M42)</f>
        <v>1200</v>
      </c>
      <c r="O42" s="397">
        <v>4100</v>
      </c>
      <c r="P42" s="278"/>
      <c r="Q42" s="286"/>
      <c r="R42" s="397">
        <v>8200</v>
      </c>
      <c r="S42" s="398">
        <f t="shared" si="0"/>
        <v>-4100</v>
      </c>
      <c r="T42" s="503"/>
      <c r="U42" s="369"/>
      <c r="V42" s="369"/>
      <c r="W42" s="369"/>
    </row>
    <row r="43" spans="1:23" s="267" customFormat="1" ht="13">
      <c r="A43" s="420" t="s">
        <v>41</v>
      </c>
      <c r="B43" s="278">
        <f>0</f>
        <v>0</v>
      </c>
      <c r="C43" s="271">
        <f>0</f>
        <v>0</v>
      </c>
      <c r="D43" s="271">
        <v>0</v>
      </c>
      <c r="E43" s="271">
        <f>0</f>
        <v>0</v>
      </c>
      <c r="F43" s="271">
        <f>0</f>
        <v>0</v>
      </c>
      <c r="G43" s="271">
        <v>0</v>
      </c>
      <c r="H43" s="271">
        <v>0</v>
      </c>
      <c r="I43" s="271">
        <v>0</v>
      </c>
      <c r="J43" s="271">
        <f>0</f>
        <v>0</v>
      </c>
      <c r="K43" s="271">
        <f>0</f>
        <v>0</v>
      </c>
      <c r="L43" s="271">
        <f>0</f>
        <v>0</v>
      </c>
      <c r="M43" s="654">
        <f>0</f>
        <v>0</v>
      </c>
      <c r="N43" s="468">
        <f t="shared" si="6"/>
        <v>0</v>
      </c>
      <c r="O43" s="397">
        <v>0</v>
      </c>
      <c r="P43" s="271">
        <v>700</v>
      </c>
      <c r="Q43" s="274">
        <f t="shared" si="7"/>
        <v>-700</v>
      </c>
      <c r="R43" s="397">
        <v>0</v>
      </c>
      <c r="S43" s="398">
        <f t="shared" si="0"/>
        <v>0</v>
      </c>
      <c r="T43" s="500"/>
    </row>
    <row r="44" spans="1:23" s="438" customFormat="1" ht="13">
      <c r="A44" s="437" t="s">
        <v>42</v>
      </c>
      <c r="B44" s="276">
        <f t="shared" ref="B44:M44" si="9">SUM(B26:B43)</f>
        <v>7140</v>
      </c>
      <c r="C44" s="276">
        <f t="shared" si="9"/>
        <v>4730</v>
      </c>
      <c r="D44" s="276">
        <f t="shared" si="9"/>
        <v>12420</v>
      </c>
      <c r="E44" s="276">
        <f t="shared" si="9"/>
        <v>5148</v>
      </c>
      <c r="F44" s="276">
        <f t="shared" si="9"/>
        <v>-6078.4000000000005</v>
      </c>
      <c r="G44" s="276">
        <f t="shared" si="9"/>
        <v>11749.92</v>
      </c>
      <c r="H44" s="276">
        <f t="shared" si="9"/>
        <v>4643.9039999999995</v>
      </c>
      <c r="I44" s="276">
        <f t="shared" si="9"/>
        <v>5116.6847999999991</v>
      </c>
      <c r="J44" s="276">
        <f t="shared" si="9"/>
        <v>3484.0217599999987</v>
      </c>
      <c r="K44" s="276">
        <f t="shared" si="9"/>
        <v>6664.8261119999988</v>
      </c>
      <c r="L44" s="276">
        <f t="shared" si="9"/>
        <v>7481.791334399998</v>
      </c>
      <c r="M44" s="655">
        <f t="shared" si="9"/>
        <v>15962.149601279998</v>
      </c>
      <c r="N44" s="641">
        <f t="shared" si="6"/>
        <v>78462.897607680003</v>
      </c>
      <c r="O44" s="440">
        <f>SUM(O26:O43)</f>
        <v>588400</v>
      </c>
      <c r="P44" s="276">
        <v>401062.26</v>
      </c>
      <c r="Q44" s="276">
        <f t="shared" si="7"/>
        <v>-322599.36239232001</v>
      </c>
      <c r="R44" s="440">
        <f>SUM(R26:R43)</f>
        <v>2074300</v>
      </c>
      <c r="S44" s="398">
        <f t="shared" si="0"/>
        <v>-1485900</v>
      </c>
      <c r="T44" s="504"/>
    </row>
    <row r="45" spans="1:23" s="267" customFormat="1" ht="6" customHeight="1">
      <c r="A45" s="419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656"/>
      <c r="N45" s="468"/>
      <c r="O45" s="397"/>
      <c r="P45" s="133"/>
      <c r="Q45" s="133"/>
      <c r="R45" s="397"/>
      <c r="S45" s="398">
        <f t="shared" si="0"/>
        <v>0</v>
      </c>
      <c r="T45" s="500"/>
    </row>
    <row r="46" spans="1:23" s="267" customFormat="1" ht="13">
      <c r="A46" s="420" t="s">
        <v>43</v>
      </c>
      <c r="B46" s="278">
        <v>0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78">
        <v>0</v>
      </c>
      <c r="I46" s="278">
        <v>0</v>
      </c>
      <c r="J46" s="278">
        <v>0</v>
      </c>
      <c r="K46" s="278">
        <v>0</v>
      </c>
      <c r="L46" s="278">
        <v>0</v>
      </c>
      <c r="M46" s="654">
        <v>0</v>
      </c>
      <c r="N46" s="468">
        <f>SUM(B46:M46)</f>
        <v>0</v>
      </c>
      <c r="O46" s="399">
        <v>-17000</v>
      </c>
      <c r="P46" s="271">
        <v>0</v>
      </c>
      <c r="Q46" s="274">
        <f>N46-P46</f>
        <v>0</v>
      </c>
      <c r="R46" s="399">
        <v>-62000</v>
      </c>
      <c r="S46" s="398">
        <f t="shared" si="0"/>
        <v>45000</v>
      </c>
      <c r="T46" s="500" t="s">
        <v>220</v>
      </c>
    </row>
    <row r="47" spans="1:23" s="267" customFormat="1" ht="14" thickBot="1">
      <c r="A47" s="420" t="s">
        <v>143</v>
      </c>
      <c r="B47" s="278">
        <f>0</f>
        <v>0</v>
      </c>
      <c r="C47" s="271">
        <f>0</f>
        <v>0</v>
      </c>
      <c r="D47" s="271">
        <f>0</f>
        <v>0</v>
      </c>
      <c r="E47" s="271">
        <f>0</f>
        <v>0</v>
      </c>
      <c r="F47" s="271">
        <f>0</f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f>0</f>
        <v>0</v>
      </c>
      <c r="M47" s="654">
        <f>0</f>
        <v>0</v>
      </c>
      <c r="N47" s="468">
        <f>SUM(B47:M47)</f>
        <v>0</v>
      </c>
      <c r="O47" s="397">
        <v>0</v>
      </c>
      <c r="P47" s="271">
        <v>0</v>
      </c>
      <c r="Q47" s="274">
        <f>N47-P47</f>
        <v>0</v>
      </c>
      <c r="R47" s="397">
        <v>0</v>
      </c>
      <c r="S47" s="398">
        <f t="shared" si="0"/>
        <v>0</v>
      </c>
      <c r="T47" s="500"/>
    </row>
    <row r="48" spans="1:23" s="452" customFormat="1" ht="14" thickTop="1">
      <c r="A48" s="445" t="s">
        <v>45</v>
      </c>
      <c r="B48" s="446">
        <f t="shared" ref="B48:M48" si="10">(((((B11)+(B17))+(B23))+(B44))+(B46))+(B47)</f>
        <v>28390</v>
      </c>
      <c r="C48" s="446">
        <f t="shared" si="10"/>
        <v>20680</v>
      </c>
      <c r="D48" s="446">
        <f t="shared" si="10"/>
        <v>29320</v>
      </c>
      <c r="E48" s="446">
        <f t="shared" si="10"/>
        <v>12998</v>
      </c>
      <c r="F48" s="446">
        <f t="shared" si="10"/>
        <v>13871.599999999999</v>
      </c>
      <c r="G48" s="446">
        <f t="shared" si="10"/>
        <v>27149.919999999998</v>
      </c>
      <c r="H48" s="446">
        <f t="shared" si="10"/>
        <v>39493.904000000002</v>
      </c>
      <c r="I48" s="446">
        <f t="shared" si="10"/>
        <v>58966.684800000003</v>
      </c>
      <c r="J48" s="446">
        <f t="shared" si="10"/>
        <v>46134.021759999996</v>
      </c>
      <c r="K48" s="446">
        <f t="shared" si="10"/>
        <v>126014.826112</v>
      </c>
      <c r="L48" s="446">
        <f t="shared" si="10"/>
        <v>33731.791334399997</v>
      </c>
      <c r="M48" s="659">
        <f t="shared" si="10"/>
        <v>64712.149601279998</v>
      </c>
      <c r="N48" s="643">
        <f>SUM(B48:M48)</f>
        <v>501462.89760768</v>
      </c>
      <c r="O48" s="449">
        <f>SUM(O11,O17,O23,O44,O46,O47)</f>
        <v>1031200</v>
      </c>
      <c r="P48" s="446">
        <v>1179776.3799999999</v>
      </c>
      <c r="Q48" s="450">
        <f>N48-P48</f>
        <v>-678313.48239231994</v>
      </c>
      <c r="R48" s="449">
        <f>SUM(R11,R17,R23,R44,R46,R47)</f>
        <v>2472100</v>
      </c>
      <c r="S48" s="398">
        <f t="shared" si="0"/>
        <v>-1440900</v>
      </c>
      <c r="T48" s="505"/>
    </row>
    <row r="49" spans="1:20" s="267" customFormat="1" ht="13" customHeight="1">
      <c r="A49" s="44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656"/>
      <c r="N49" s="443"/>
      <c r="O49" s="444"/>
      <c r="P49" s="370"/>
      <c r="Q49" s="370"/>
      <c r="R49" s="370"/>
      <c r="S49" s="398">
        <f t="shared" si="0"/>
        <v>0</v>
      </c>
      <c r="T49" s="500"/>
    </row>
    <row r="50" spans="1:20" s="267" customFormat="1" ht="13">
      <c r="A50" s="419" t="s">
        <v>46</v>
      </c>
      <c r="B50" s="413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653"/>
      <c r="N50" s="468"/>
      <c r="O50" s="397"/>
      <c r="P50" s="133"/>
      <c r="Q50" s="133"/>
      <c r="R50" s="133"/>
      <c r="S50" s="398">
        <f t="shared" si="0"/>
        <v>0</v>
      </c>
      <c r="T50" s="500"/>
    </row>
    <row r="51" spans="1:20" s="267" customFormat="1" ht="13">
      <c r="A51" s="419" t="s">
        <v>144</v>
      </c>
      <c r="B51" s="278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654"/>
      <c r="N51" s="468"/>
      <c r="O51" s="397"/>
      <c r="P51" s="133"/>
      <c r="Q51" s="133"/>
      <c r="R51" s="133"/>
      <c r="S51" s="398">
        <f t="shared" si="0"/>
        <v>0</v>
      </c>
      <c r="T51" s="500"/>
    </row>
    <row r="52" spans="1:20" s="267" customFormat="1" ht="13">
      <c r="A52" s="420" t="s">
        <v>48</v>
      </c>
      <c r="B52" s="278">
        <v>400</v>
      </c>
      <c r="C52" s="278">
        <v>400</v>
      </c>
      <c r="D52" s="278">
        <v>400</v>
      </c>
      <c r="E52" s="278">
        <v>400</v>
      </c>
      <c r="F52" s="278">
        <v>400</v>
      </c>
      <c r="G52" s="278">
        <v>400</v>
      </c>
      <c r="H52" s="278">
        <v>400</v>
      </c>
      <c r="I52" s="278">
        <v>400</v>
      </c>
      <c r="J52" s="278">
        <v>400</v>
      </c>
      <c r="K52" s="278">
        <v>400</v>
      </c>
      <c r="L52" s="278">
        <v>400</v>
      </c>
      <c r="M52" s="654">
        <v>400</v>
      </c>
      <c r="N52" s="468">
        <f t="shared" ref="N52:N60" si="11">SUM(B52:M52)</f>
        <v>4800</v>
      </c>
      <c r="O52" s="397">
        <v>4800</v>
      </c>
      <c r="P52" s="271">
        <v>3875.12</v>
      </c>
      <c r="Q52" s="274">
        <f>N52-P52</f>
        <v>924.88000000000011</v>
      </c>
      <c r="R52" s="397">
        <v>4800</v>
      </c>
      <c r="S52" s="398">
        <f t="shared" si="0"/>
        <v>0</v>
      </c>
      <c r="T52" s="500"/>
    </row>
    <row r="53" spans="1:20" s="527" customFormat="1" ht="26">
      <c r="A53" s="519" t="s">
        <v>145</v>
      </c>
      <c r="B53" s="520">
        <v>8000</v>
      </c>
      <c r="C53" s="520">
        <v>1000</v>
      </c>
      <c r="D53" s="520">
        <v>1000</v>
      </c>
      <c r="E53" s="520">
        <v>1000</v>
      </c>
      <c r="F53" s="520">
        <v>1000</v>
      </c>
      <c r="G53" s="520">
        <v>1000</v>
      </c>
      <c r="H53" s="520">
        <v>1000</v>
      </c>
      <c r="I53" s="520">
        <v>1000</v>
      </c>
      <c r="J53" s="520">
        <v>1000</v>
      </c>
      <c r="K53" s="520">
        <v>1000</v>
      </c>
      <c r="L53" s="520">
        <v>1000</v>
      </c>
      <c r="M53" s="658">
        <v>8000</v>
      </c>
      <c r="N53" s="642">
        <f t="shared" si="11"/>
        <v>26000</v>
      </c>
      <c r="O53" s="523">
        <v>19000</v>
      </c>
      <c r="P53" s="521">
        <v>20722.400000000001</v>
      </c>
      <c r="Q53" s="524">
        <f t="shared" ref="Q53:Q60" si="12">N53-P53</f>
        <v>5277.5999999999985</v>
      </c>
      <c r="R53" s="523">
        <v>38000</v>
      </c>
      <c r="S53" s="525">
        <f t="shared" si="0"/>
        <v>-19000</v>
      </c>
      <c r="T53" s="526" t="s">
        <v>245</v>
      </c>
    </row>
    <row r="54" spans="1:20" s="527" customFormat="1" ht="26">
      <c r="A54" s="519" t="s">
        <v>146</v>
      </c>
      <c r="B54" s="520">
        <v>2000</v>
      </c>
      <c r="C54" s="520">
        <v>2000</v>
      </c>
      <c r="D54" s="520">
        <v>2000</v>
      </c>
      <c r="E54" s="520">
        <v>2000</v>
      </c>
      <c r="F54" s="520">
        <v>2000</v>
      </c>
      <c r="G54" s="520">
        <v>2000</v>
      </c>
      <c r="H54" s="520">
        <v>2000</v>
      </c>
      <c r="I54" s="520">
        <v>2000</v>
      </c>
      <c r="J54" s="520">
        <v>2000</v>
      </c>
      <c r="K54" s="520">
        <v>2000</v>
      </c>
      <c r="L54" s="520">
        <v>2000</v>
      </c>
      <c r="M54" s="658">
        <v>2000</v>
      </c>
      <c r="N54" s="642">
        <f t="shared" si="11"/>
        <v>24000</v>
      </c>
      <c r="O54" s="523">
        <v>42000</v>
      </c>
      <c r="P54" s="521">
        <v>24074</v>
      </c>
      <c r="Q54" s="524">
        <f t="shared" si="12"/>
        <v>-74</v>
      </c>
      <c r="R54" s="523">
        <v>60000</v>
      </c>
      <c r="S54" s="525">
        <f t="shared" si="0"/>
        <v>-18000</v>
      </c>
      <c r="T54" s="526" t="s">
        <v>246</v>
      </c>
    </row>
    <row r="55" spans="1:20" s="267" customFormat="1" ht="13">
      <c r="A55" s="420" t="s">
        <v>147</v>
      </c>
      <c r="B55" s="278">
        <v>160</v>
      </c>
      <c r="C55" s="278">
        <v>160</v>
      </c>
      <c r="D55" s="278">
        <v>160</v>
      </c>
      <c r="E55" s="278">
        <v>160</v>
      </c>
      <c r="F55" s="278">
        <v>160</v>
      </c>
      <c r="G55" s="278">
        <v>160</v>
      </c>
      <c r="H55" s="278">
        <v>160</v>
      </c>
      <c r="I55" s="278">
        <v>160</v>
      </c>
      <c r="J55" s="278">
        <v>160</v>
      </c>
      <c r="K55" s="278">
        <v>160</v>
      </c>
      <c r="L55" s="278">
        <v>160</v>
      </c>
      <c r="M55" s="654">
        <v>160</v>
      </c>
      <c r="N55" s="468">
        <f t="shared" si="11"/>
        <v>1920</v>
      </c>
      <c r="O55" s="397">
        <v>3600</v>
      </c>
      <c r="P55" s="271">
        <v>4249.01</v>
      </c>
      <c r="Q55" s="274">
        <f t="shared" si="12"/>
        <v>-2329.0100000000002</v>
      </c>
      <c r="R55" s="397">
        <v>3600</v>
      </c>
      <c r="S55" s="398">
        <f t="shared" si="0"/>
        <v>0</v>
      </c>
      <c r="T55" s="500"/>
    </row>
    <row r="56" spans="1:20" s="267" customFormat="1" ht="13">
      <c r="A56" s="420" t="s">
        <v>148</v>
      </c>
      <c r="B56" s="278">
        <v>0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3000</v>
      </c>
      <c r="J56" s="271">
        <v>0</v>
      </c>
      <c r="K56" s="271">
        <v>0</v>
      </c>
      <c r="L56" s="271">
        <v>0</v>
      </c>
      <c r="M56" s="654">
        <v>0</v>
      </c>
      <c r="N56" s="468">
        <f t="shared" si="11"/>
        <v>3000</v>
      </c>
      <c r="O56" s="397">
        <v>3000</v>
      </c>
      <c r="P56" s="271">
        <v>924.58999999999992</v>
      </c>
      <c r="Q56" s="274">
        <f t="shared" si="12"/>
        <v>2075.41</v>
      </c>
      <c r="R56" s="397">
        <v>3000</v>
      </c>
      <c r="S56" s="398">
        <f t="shared" si="0"/>
        <v>0</v>
      </c>
      <c r="T56" s="500"/>
    </row>
    <row r="57" spans="1:20" s="267" customFormat="1" ht="13">
      <c r="A57" s="420" t="s">
        <v>149</v>
      </c>
      <c r="B57" s="278">
        <v>0</v>
      </c>
      <c r="C57" s="278">
        <v>0</v>
      </c>
      <c r="D57" s="278">
        <v>500</v>
      </c>
      <c r="E57" s="278">
        <v>0</v>
      </c>
      <c r="F57" s="278">
        <v>0</v>
      </c>
      <c r="G57" s="278">
        <v>500</v>
      </c>
      <c r="H57" s="278">
        <v>0</v>
      </c>
      <c r="I57" s="278">
        <v>0</v>
      </c>
      <c r="J57" s="278">
        <v>500</v>
      </c>
      <c r="K57" s="278">
        <v>0</v>
      </c>
      <c r="L57" s="278">
        <v>0</v>
      </c>
      <c r="M57" s="654">
        <v>500</v>
      </c>
      <c r="N57" s="468">
        <f>SUM(B57:M57)</f>
        <v>2000</v>
      </c>
      <c r="O57" s="397">
        <v>6000</v>
      </c>
      <c r="P57" s="271"/>
      <c r="Q57" s="274">
        <f t="shared" si="12"/>
        <v>2000</v>
      </c>
      <c r="R57" s="397">
        <v>6000</v>
      </c>
      <c r="S57" s="398">
        <f t="shared" si="0"/>
        <v>0</v>
      </c>
      <c r="T57" s="500"/>
    </row>
    <row r="58" spans="1:20" s="267" customFormat="1" ht="13">
      <c r="A58" s="420" t="s">
        <v>150</v>
      </c>
      <c r="B58" s="278">
        <v>0</v>
      </c>
      <c r="C58" s="278">
        <v>0</v>
      </c>
      <c r="D58" s="679">
        <v>8500</v>
      </c>
      <c r="E58" s="679">
        <v>8500</v>
      </c>
      <c r="F58" s="271">
        <v>0</v>
      </c>
      <c r="G58" s="271">
        <v>1000</v>
      </c>
      <c r="H58" s="271">
        <v>11500</v>
      </c>
      <c r="I58" s="271">
        <v>11500</v>
      </c>
      <c r="J58" s="271">
        <v>18000</v>
      </c>
      <c r="K58" s="271">
        <v>38000</v>
      </c>
      <c r="L58" s="271">
        <v>3000</v>
      </c>
      <c r="M58" s="654">
        <v>5000</v>
      </c>
      <c r="N58" s="468">
        <f t="shared" si="11"/>
        <v>105000</v>
      </c>
      <c r="O58" s="397">
        <v>123000</v>
      </c>
      <c r="P58" s="271">
        <v>35418.75</v>
      </c>
      <c r="Q58" s="274">
        <f t="shared" si="12"/>
        <v>69581.25</v>
      </c>
      <c r="R58" s="397">
        <v>123000</v>
      </c>
      <c r="S58" s="398">
        <f t="shared" si="0"/>
        <v>0</v>
      </c>
      <c r="T58" s="500"/>
    </row>
    <row r="59" spans="1:20" s="267" customFormat="1" ht="13">
      <c r="A59" s="420" t="s">
        <v>151</v>
      </c>
      <c r="B59" s="278">
        <v>0</v>
      </c>
      <c r="C59" s="271">
        <v>0</v>
      </c>
      <c r="D59" s="271">
        <v>0</v>
      </c>
      <c r="E59" s="271">
        <v>0</v>
      </c>
      <c r="F59" s="271">
        <v>0</v>
      </c>
      <c r="G59" s="271">
        <f>0</f>
        <v>0</v>
      </c>
      <c r="H59" s="271">
        <v>0</v>
      </c>
      <c r="I59" s="271">
        <v>0</v>
      </c>
      <c r="J59" s="271">
        <v>0</v>
      </c>
      <c r="K59" s="271">
        <v>3000</v>
      </c>
      <c r="L59" s="271">
        <v>0</v>
      </c>
      <c r="M59" s="654">
        <v>0</v>
      </c>
      <c r="N59" s="468">
        <f t="shared" si="11"/>
        <v>3000</v>
      </c>
      <c r="O59" s="397">
        <v>3000</v>
      </c>
      <c r="P59" s="271">
        <v>2665.37</v>
      </c>
      <c r="Q59" s="274">
        <f t="shared" si="12"/>
        <v>334.63000000000011</v>
      </c>
      <c r="R59" s="397">
        <v>3000</v>
      </c>
      <c r="S59" s="398">
        <f t="shared" si="0"/>
        <v>0</v>
      </c>
      <c r="T59" s="500"/>
    </row>
    <row r="60" spans="1:20" s="267" customFormat="1" ht="13">
      <c r="A60" s="423" t="s">
        <v>152</v>
      </c>
      <c r="B60" s="639">
        <f t="shared" ref="B60:M60" si="13">SUM(B52:B59)</f>
        <v>10560</v>
      </c>
      <c r="C60" s="469">
        <f t="shared" si="13"/>
        <v>3560</v>
      </c>
      <c r="D60" s="469">
        <f t="shared" si="13"/>
        <v>12560</v>
      </c>
      <c r="E60" s="469">
        <f t="shared" si="13"/>
        <v>12060</v>
      </c>
      <c r="F60" s="469">
        <f t="shared" si="13"/>
        <v>3560</v>
      </c>
      <c r="G60" s="469">
        <f t="shared" si="13"/>
        <v>5060</v>
      </c>
      <c r="H60" s="469">
        <f t="shared" si="13"/>
        <v>15060</v>
      </c>
      <c r="I60" s="469">
        <f t="shared" si="13"/>
        <v>18060</v>
      </c>
      <c r="J60" s="469">
        <f t="shared" si="13"/>
        <v>22060</v>
      </c>
      <c r="K60" s="469">
        <f t="shared" si="13"/>
        <v>44560</v>
      </c>
      <c r="L60" s="469">
        <f t="shared" si="13"/>
        <v>6560</v>
      </c>
      <c r="M60" s="660">
        <f t="shared" si="13"/>
        <v>16060</v>
      </c>
      <c r="N60" s="467">
        <f t="shared" si="11"/>
        <v>169720</v>
      </c>
      <c r="O60" s="406">
        <f>SUM(O52:O59)</f>
        <v>204400</v>
      </c>
      <c r="P60" s="469">
        <v>91929.239999999991</v>
      </c>
      <c r="Q60" s="469">
        <f t="shared" si="12"/>
        <v>77790.760000000009</v>
      </c>
      <c r="R60" s="401">
        <f>SUM(R52:R59)</f>
        <v>241400</v>
      </c>
      <c r="S60" s="398">
        <f t="shared" si="0"/>
        <v>-37000</v>
      </c>
      <c r="T60" s="500"/>
    </row>
    <row r="61" spans="1:20" s="267" customFormat="1" ht="6" customHeight="1">
      <c r="A61" s="419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656"/>
      <c r="N61" s="468"/>
      <c r="O61" s="397"/>
      <c r="P61" s="133"/>
      <c r="Q61" s="133"/>
      <c r="R61" s="133"/>
      <c r="S61" s="398">
        <f t="shared" si="0"/>
        <v>0</v>
      </c>
      <c r="T61" s="500"/>
    </row>
    <row r="62" spans="1:20" s="267" customFormat="1" ht="13">
      <c r="A62" s="419" t="s">
        <v>153</v>
      </c>
      <c r="B62" s="414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657"/>
      <c r="N62" s="468"/>
      <c r="O62" s="397"/>
      <c r="P62" s="133"/>
      <c r="Q62" s="133"/>
      <c r="R62" s="133"/>
      <c r="S62" s="398">
        <f t="shared" si="0"/>
        <v>0</v>
      </c>
      <c r="T62" s="500"/>
    </row>
    <row r="63" spans="1:20" s="267" customFormat="1" ht="13">
      <c r="A63" s="420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654"/>
      <c r="N63" s="467"/>
      <c r="O63" s="406"/>
      <c r="P63" s="271">
        <v>49969.65</v>
      </c>
      <c r="Q63" s="274">
        <f>N63-P63</f>
        <v>-49969.65</v>
      </c>
      <c r="R63" s="274"/>
      <c r="S63" s="398">
        <f t="shared" si="0"/>
        <v>0</v>
      </c>
      <c r="T63" s="500"/>
    </row>
    <row r="64" spans="1:20" s="267" customFormat="1" ht="13">
      <c r="A64" s="571" t="s">
        <v>155</v>
      </c>
      <c r="B64" s="278">
        <v>0</v>
      </c>
      <c r="C64" s="278">
        <v>0</v>
      </c>
      <c r="D64" s="278">
        <v>0</v>
      </c>
      <c r="E64" s="278">
        <v>0</v>
      </c>
      <c r="F64" s="278">
        <v>0</v>
      </c>
      <c r="G64" s="278">
        <v>0</v>
      </c>
      <c r="H64" s="278">
        <v>0</v>
      </c>
      <c r="I64" s="278">
        <v>0</v>
      </c>
      <c r="J64" s="278">
        <v>0</v>
      </c>
      <c r="K64" s="278">
        <v>0</v>
      </c>
      <c r="L64" s="278">
        <v>0</v>
      </c>
      <c r="M64" s="654">
        <v>0</v>
      </c>
      <c r="N64" s="467">
        <f>SUM(B64:M64)</f>
        <v>0</v>
      </c>
      <c r="O64" s="397">
        <v>24000</v>
      </c>
      <c r="P64" s="271"/>
      <c r="Q64" s="274"/>
      <c r="R64" s="669">
        <v>24000</v>
      </c>
      <c r="S64" s="398">
        <f t="shared" si="0"/>
        <v>0</v>
      </c>
      <c r="T64" s="500"/>
    </row>
    <row r="65" spans="1:23" s="267" customFormat="1" ht="13">
      <c r="A65" s="571" t="s">
        <v>156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654">
        <v>0</v>
      </c>
      <c r="N65" s="468">
        <f t="shared" ref="N65:N75" si="14">SUM(B65:M65)</f>
        <v>0</v>
      </c>
      <c r="O65" s="397">
        <v>13200</v>
      </c>
      <c r="P65" s="271"/>
      <c r="Q65" s="133"/>
      <c r="R65" s="669">
        <v>13200</v>
      </c>
      <c r="S65" s="398">
        <f t="shared" si="0"/>
        <v>0</v>
      </c>
      <c r="T65" s="500"/>
    </row>
    <row r="66" spans="1:23" s="527" customFormat="1" ht="26">
      <c r="A66" s="491" t="s">
        <v>247</v>
      </c>
      <c r="B66" s="520">
        <v>1500</v>
      </c>
      <c r="C66" s="520">
        <v>0</v>
      </c>
      <c r="D66" s="520">
        <v>1500</v>
      </c>
      <c r="E66" s="520">
        <v>0</v>
      </c>
      <c r="F66" s="520">
        <v>1500</v>
      </c>
      <c r="G66" s="520">
        <v>0</v>
      </c>
      <c r="H66" s="520">
        <v>1500</v>
      </c>
      <c r="I66" s="520">
        <v>0</v>
      </c>
      <c r="J66" s="520">
        <v>1500</v>
      </c>
      <c r="K66" s="520">
        <v>0</v>
      </c>
      <c r="L66" s="520">
        <v>1500</v>
      </c>
      <c r="M66" s="658">
        <v>0</v>
      </c>
      <c r="N66" s="642">
        <f t="shared" si="14"/>
        <v>9000</v>
      </c>
      <c r="O66" s="523">
        <v>18000</v>
      </c>
      <c r="P66" s="521"/>
      <c r="Q66" s="530"/>
      <c r="R66" s="671">
        <v>36000</v>
      </c>
      <c r="S66" s="525">
        <f t="shared" si="0"/>
        <v>-18000</v>
      </c>
      <c r="T66" s="526" t="s">
        <v>248</v>
      </c>
    </row>
    <row r="67" spans="1:23" s="527" customFormat="1" ht="13">
      <c r="A67" s="491" t="s">
        <v>249</v>
      </c>
      <c r="B67" s="520">
        <v>500</v>
      </c>
      <c r="C67" s="520">
        <v>500</v>
      </c>
      <c r="D67" s="520">
        <v>500</v>
      </c>
      <c r="E67" s="520">
        <v>500</v>
      </c>
      <c r="F67" s="520">
        <v>500</v>
      </c>
      <c r="G67" s="520">
        <v>500</v>
      </c>
      <c r="H67" s="520">
        <v>500</v>
      </c>
      <c r="I67" s="520">
        <v>500</v>
      </c>
      <c r="J67" s="520">
        <v>500</v>
      </c>
      <c r="K67" s="520">
        <v>500</v>
      </c>
      <c r="L67" s="520">
        <v>500</v>
      </c>
      <c r="M67" s="658">
        <v>500</v>
      </c>
      <c r="N67" s="642">
        <f t="shared" si="14"/>
        <v>6000</v>
      </c>
      <c r="O67" s="523"/>
      <c r="P67" s="521"/>
      <c r="Q67" s="530"/>
      <c r="R67" s="671"/>
      <c r="S67" s="525"/>
      <c r="T67" s="526"/>
    </row>
    <row r="68" spans="1:23" s="527" customFormat="1" ht="26">
      <c r="A68" s="519" t="s">
        <v>250</v>
      </c>
      <c r="B68" s="520">
        <v>500</v>
      </c>
      <c r="C68" s="520">
        <v>500</v>
      </c>
      <c r="D68" s="520">
        <v>500</v>
      </c>
      <c r="E68" s="520">
        <v>500</v>
      </c>
      <c r="F68" s="520">
        <v>500</v>
      </c>
      <c r="G68" s="520">
        <v>500</v>
      </c>
      <c r="H68" s="520">
        <v>500</v>
      </c>
      <c r="I68" s="520">
        <v>500</v>
      </c>
      <c r="J68" s="520">
        <v>500</v>
      </c>
      <c r="K68" s="520">
        <v>500</v>
      </c>
      <c r="L68" s="520">
        <v>500</v>
      </c>
      <c r="M68" s="658">
        <v>500</v>
      </c>
      <c r="N68" s="642">
        <f t="shared" si="14"/>
        <v>6000</v>
      </c>
      <c r="O68" s="523">
        <v>9000</v>
      </c>
      <c r="P68" s="521"/>
      <c r="Q68" s="530"/>
      <c r="R68" s="671">
        <v>12000</v>
      </c>
      <c r="S68" s="525">
        <f t="shared" si="0"/>
        <v>-3000</v>
      </c>
      <c r="T68" s="526" t="s">
        <v>251</v>
      </c>
    </row>
    <row r="69" spans="1:23" s="527" customFormat="1" ht="13">
      <c r="A69" s="519" t="s">
        <v>252</v>
      </c>
      <c r="B69" s="674">
        <v>0</v>
      </c>
      <c r="C69" s="672">
        <v>0</v>
      </c>
      <c r="D69" s="672">
        <v>0</v>
      </c>
      <c r="E69" s="672">
        <v>0</v>
      </c>
      <c r="F69" s="672">
        <v>0</v>
      </c>
      <c r="G69" s="672">
        <v>0</v>
      </c>
      <c r="H69" s="672">
        <v>0</v>
      </c>
      <c r="I69" s="672">
        <v>0</v>
      </c>
      <c r="J69" s="672">
        <v>0</v>
      </c>
      <c r="K69" s="520">
        <v>11000</v>
      </c>
      <c r="L69" s="520">
        <v>0</v>
      </c>
      <c r="M69" s="658">
        <v>0</v>
      </c>
      <c r="N69" s="642">
        <f>SUM(B69:M69)</f>
        <v>11000</v>
      </c>
      <c r="O69" s="523">
        <v>16300</v>
      </c>
      <c r="P69" s="521"/>
      <c r="Q69" s="530"/>
      <c r="R69" s="671">
        <v>16300</v>
      </c>
      <c r="S69" s="525">
        <f t="shared" si="0"/>
        <v>0</v>
      </c>
      <c r="T69" s="526"/>
    </row>
    <row r="70" spans="1:23" s="527" customFormat="1" ht="26">
      <c r="A70" s="519" t="s">
        <v>296</v>
      </c>
      <c r="B70" s="520">
        <v>5000</v>
      </c>
      <c r="C70" s="520">
        <v>5000</v>
      </c>
      <c r="D70" s="520">
        <v>5000</v>
      </c>
      <c r="E70" s="520">
        <v>5000</v>
      </c>
      <c r="F70" s="520">
        <v>5000</v>
      </c>
      <c r="G70" s="520">
        <v>0</v>
      </c>
      <c r="H70" s="520">
        <v>1000</v>
      </c>
      <c r="I70" s="520">
        <v>1000</v>
      </c>
      <c r="J70" s="520">
        <v>1000</v>
      </c>
      <c r="K70" s="520">
        <v>1000</v>
      </c>
      <c r="L70" s="520">
        <v>1000</v>
      </c>
      <c r="M70" s="658">
        <v>1000</v>
      </c>
      <c r="N70" s="642">
        <f t="shared" si="14"/>
        <v>31000</v>
      </c>
      <c r="O70" s="523">
        <v>9000</v>
      </c>
      <c r="P70" s="521"/>
      <c r="Q70" s="543"/>
      <c r="R70" s="671">
        <v>12000</v>
      </c>
      <c r="S70" s="525">
        <f t="shared" ref="S70:S133" si="15">O70-R70</f>
        <v>-3000</v>
      </c>
      <c r="T70" s="526" t="s">
        <v>251</v>
      </c>
    </row>
    <row r="71" spans="1:23" s="527" customFormat="1" ht="65">
      <c r="A71" s="519" t="s">
        <v>165</v>
      </c>
      <c r="B71" s="520">
        <v>500</v>
      </c>
      <c r="C71" s="520">
        <v>500</v>
      </c>
      <c r="D71" s="520">
        <v>500</v>
      </c>
      <c r="E71" s="520">
        <v>500</v>
      </c>
      <c r="F71" s="520">
        <v>500</v>
      </c>
      <c r="G71" s="520">
        <v>500</v>
      </c>
      <c r="H71" s="520">
        <v>500</v>
      </c>
      <c r="I71" s="520">
        <v>500</v>
      </c>
      <c r="J71" s="520">
        <v>500</v>
      </c>
      <c r="K71" s="520">
        <v>500</v>
      </c>
      <c r="L71" s="520">
        <v>500</v>
      </c>
      <c r="M71" s="658">
        <v>500</v>
      </c>
      <c r="N71" s="642">
        <f t="shared" si="14"/>
        <v>6000</v>
      </c>
      <c r="O71" s="523">
        <v>11500</v>
      </c>
      <c r="P71" s="521">
        <v>40075.839999999997</v>
      </c>
      <c r="Q71" s="524">
        <f>N71-P71</f>
        <v>-34075.839999999997</v>
      </c>
      <c r="R71" s="671">
        <v>21000</v>
      </c>
      <c r="S71" s="525">
        <f t="shared" si="15"/>
        <v>-9500</v>
      </c>
      <c r="T71" s="526" t="s">
        <v>254</v>
      </c>
    </row>
    <row r="72" spans="1:23" s="267" customFormat="1" ht="12" customHeight="1">
      <c r="A72" s="420" t="s">
        <v>166</v>
      </c>
      <c r="B72" s="278">
        <v>0</v>
      </c>
      <c r="C72" s="278">
        <v>0</v>
      </c>
      <c r="D72" s="278">
        <v>250</v>
      </c>
      <c r="E72" s="278">
        <v>0</v>
      </c>
      <c r="F72" s="278">
        <v>0</v>
      </c>
      <c r="G72" s="278">
        <v>250</v>
      </c>
      <c r="H72" s="278">
        <v>0</v>
      </c>
      <c r="I72" s="278">
        <v>0</v>
      </c>
      <c r="J72" s="278">
        <v>250</v>
      </c>
      <c r="K72" s="278">
        <v>0</v>
      </c>
      <c r="L72" s="278">
        <v>0</v>
      </c>
      <c r="M72" s="654">
        <v>250</v>
      </c>
      <c r="N72" s="468">
        <f t="shared" si="14"/>
        <v>1000</v>
      </c>
      <c r="O72" s="397">
        <v>3000</v>
      </c>
      <c r="P72" s="271">
        <v>6621.17</v>
      </c>
      <c r="Q72" s="274">
        <f t="shared" ref="Q72:Q76" si="16">N72-P72</f>
        <v>-5621.17</v>
      </c>
      <c r="R72" s="669">
        <v>3000</v>
      </c>
      <c r="S72" s="398">
        <f t="shared" si="15"/>
        <v>0</v>
      </c>
      <c r="T72" s="500"/>
    </row>
    <row r="73" spans="1:23" s="267" customFormat="1" ht="13">
      <c r="A73" s="420" t="s">
        <v>168</v>
      </c>
      <c r="B73" s="278">
        <v>0</v>
      </c>
      <c r="C73" s="278">
        <v>0</v>
      </c>
      <c r="D73" s="278">
        <v>0</v>
      </c>
      <c r="E73" s="278">
        <v>0</v>
      </c>
      <c r="F73" s="278">
        <v>2000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2000</v>
      </c>
      <c r="M73" s="654">
        <v>0</v>
      </c>
      <c r="N73" s="468">
        <f t="shared" si="14"/>
        <v>4000</v>
      </c>
      <c r="O73" s="397">
        <v>10000</v>
      </c>
      <c r="P73" s="271">
        <v>2425.1099999999997</v>
      </c>
      <c r="Q73" s="274">
        <f t="shared" si="16"/>
        <v>1574.8900000000003</v>
      </c>
      <c r="R73" s="669">
        <v>10000</v>
      </c>
      <c r="S73" s="398">
        <f t="shared" si="15"/>
        <v>0</v>
      </c>
      <c r="T73" s="500"/>
    </row>
    <row r="74" spans="1:23" s="267" customFormat="1" ht="26">
      <c r="A74" s="420" t="s">
        <v>54</v>
      </c>
      <c r="B74" s="278">
        <v>1000</v>
      </c>
      <c r="C74" s="278">
        <v>1000</v>
      </c>
      <c r="D74" s="278">
        <v>1000</v>
      </c>
      <c r="E74" s="278">
        <v>1000</v>
      </c>
      <c r="F74" s="278">
        <v>1000</v>
      </c>
      <c r="G74" s="278">
        <v>1000</v>
      </c>
      <c r="H74" s="278">
        <v>1000</v>
      </c>
      <c r="I74" s="278">
        <v>1000</v>
      </c>
      <c r="J74" s="278">
        <v>1000</v>
      </c>
      <c r="K74" s="278">
        <v>1000</v>
      </c>
      <c r="L74" s="278">
        <v>4000</v>
      </c>
      <c r="M74" s="654">
        <v>4000</v>
      </c>
      <c r="N74" s="468">
        <f t="shared" si="14"/>
        <v>18000</v>
      </c>
      <c r="O74" s="397">
        <v>30000</v>
      </c>
      <c r="P74" s="271">
        <v>23942.32</v>
      </c>
      <c r="Q74" s="274">
        <f t="shared" si="16"/>
        <v>-5942.32</v>
      </c>
      <c r="R74" s="669">
        <v>48000</v>
      </c>
      <c r="S74" s="398">
        <f t="shared" si="15"/>
        <v>-18000</v>
      </c>
      <c r="T74" s="500" t="s">
        <v>255</v>
      </c>
    </row>
    <row r="75" spans="1:23" s="267" customFormat="1" ht="13">
      <c r="A75" s="420" t="s">
        <v>56</v>
      </c>
      <c r="B75" s="278">
        <v>400</v>
      </c>
      <c r="C75" s="278">
        <v>400</v>
      </c>
      <c r="D75" s="278">
        <v>400</v>
      </c>
      <c r="E75" s="278">
        <v>400</v>
      </c>
      <c r="F75" s="278">
        <v>400</v>
      </c>
      <c r="G75" s="278">
        <v>400</v>
      </c>
      <c r="H75" s="278">
        <v>400</v>
      </c>
      <c r="I75" s="278">
        <v>400</v>
      </c>
      <c r="J75" s="278">
        <v>3000</v>
      </c>
      <c r="K75" s="278">
        <v>400</v>
      </c>
      <c r="L75" s="278">
        <v>400</v>
      </c>
      <c r="M75" s="654">
        <v>400</v>
      </c>
      <c r="N75" s="468">
        <f t="shared" si="14"/>
        <v>7400</v>
      </c>
      <c r="O75" s="397">
        <v>14200</v>
      </c>
      <c r="P75" s="271">
        <v>13154.77</v>
      </c>
      <c r="Q75" s="274">
        <f t="shared" si="16"/>
        <v>-5754.77</v>
      </c>
      <c r="R75" s="669">
        <v>14200</v>
      </c>
      <c r="S75" s="398">
        <f t="shared" si="15"/>
        <v>0</v>
      </c>
      <c r="T75" s="500"/>
    </row>
    <row r="76" spans="1:23" s="267" customFormat="1" ht="13">
      <c r="A76" s="423" t="s">
        <v>169</v>
      </c>
      <c r="B76" s="639">
        <f t="shared" ref="B76:M76" si="17">SUM(B63:B75)</f>
        <v>9400</v>
      </c>
      <c r="C76" s="469">
        <f t="shared" si="17"/>
        <v>7900</v>
      </c>
      <c r="D76" s="469">
        <f t="shared" si="17"/>
        <v>9650</v>
      </c>
      <c r="E76" s="469">
        <f t="shared" si="17"/>
        <v>7900</v>
      </c>
      <c r="F76" s="469">
        <f t="shared" si="17"/>
        <v>11400</v>
      </c>
      <c r="G76" s="469">
        <f t="shared" si="17"/>
        <v>3150</v>
      </c>
      <c r="H76" s="469">
        <f t="shared" si="17"/>
        <v>5400</v>
      </c>
      <c r="I76" s="469">
        <f t="shared" si="17"/>
        <v>3900</v>
      </c>
      <c r="J76" s="469">
        <f t="shared" si="17"/>
        <v>8250</v>
      </c>
      <c r="K76" s="469">
        <f t="shared" si="17"/>
        <v>14900</v>
      </c>
      <c r="L76" s="469">
        <f t="shared" si="17"/>
        <v>10400</v>
      </c>
      <c r="M76" s="660">
        <f t="shared" si="17"/>
        <v>7150</v>
      </c>
      <c r="N76" s="644">
        <f>SUM(B76:M76)</f>
        <v>99400</v>
      </c>
      <c r="O76" s="406">
        <f>SUM(O64:O75)</f>
        <v>158200</v>
      </c>
      <c r="P76" s="469">
        <v>137632.61999999997</v>
      </c>
      <c r="Q76" s="469">
        <f t="shared" si="16"/>
        <v>-38232.619999999966</v>
      </c>
      <c r="R76" s="670">
        <v>209700</v>
      </c>
      <c r="S76" s="398">
        <f t="shared" si="15"/>
        <v>-51500</v>
      </c>
      <c r="T76" s="503"/>
      <c r="U76" s="369"/>
      <c r="V76" s="369"/>
      <c r="W76" s="369"/>
    </row>
    <row r="77" spans="1:23" s="267" customFormat="1" ht="10" customHeight="1">
      <c r="A77" s="419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656"/>
      <c r="N77" s="468"/>
      <c r="O77" s="397"/>
      <c r="P77" s="370"/>
      <c r="Q77" s="370"/>
      <c r="R77" s="370"/>
      <c r="S77" s="398">
        <f t="shared" si="15"/>
        <v>0</v>
      </c>
      <c r="T77" s="503"/>
      <c r="U77" s="369"/>
      <c r="V77" s="369"/>
      <c r="W77" s="369"/>
    </row>
    <row r="78" spans="1:23" s="267" customFormat="1" ht="13">
      <c r="A78" s="419" t="s">
        <v>170</v>
      </c>
      <c r="B78" s="278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654"/>
      <c r="N78" s="468"/>
      <c r="O78" s="397"/>
      <c r="P78" s="370"/>
      <c r="Q78" s="370"/>
      <c r="R78" s="370"/>
      <c r="S78" s="398">
        <f t="shared" si="15"/>
        <v>0</v>
      </c>
      <c r="T78" s="506"/>
      <c r="U78" s="268"/>
      <c r="V78" s="268"/>
      <c r="W78" s="369"/>
    </row>
    <row r="79" spans="1:23" s="267" customFormat="1" ht="13">
      <c r="A79" s="420" t="s">
        <v>67</v>
      </c>
      <c r="B79" s="278">
        <v>0</v>
      </c>
      <c r="C79" s="278">
        <v>0</v>
      </c>
      <c r="D79" s="278">
        <v>0</v>
      </c>
      <c r="E79" s="278">
        <v>0</v>
      </c>
      <c r="F79" s="278">
        <v>0</v>
      </c>
      <c r="G79" s="278">
        <v>0</v>
      </c>
      <c r="H79" s="278">
        <v>7000</v>
      </c>
      <c r="I79" s="278">
        <v>0</v>
      </c>
      <c r="J79" s="278">
        <v>7000</v>
      </c>
      <c r="K79" s="278">
        <v>0</v>
      </c>
      <c r="L79" s="278">
        <v>0</v>
      </c>
      <c r="M79" s="654">
        <v>0</v>
      </c>
      <c r="N79" s="468">
        <f t="shared" ref="N79:N86" si="18">SUM(B79:M79)</f>
        <v>14000</v>
      </c>
      <c r="O79" s="397">
        <v>21500</v>
      </c>
      <c r="P79" s="271">
        <v>5000</v>
      </c>
      <c r="Q79" s="286">
        <f>N79-P79</f>
        <v>9000</v>
      </c>
      <c r="R79" s="397">
        <v>21500</v>
      </c>
      <c r="S79" s="398">
        <f t="shared" si="15"/>
        <v>0</v>
      </c>
      <c r="T79" s="506"/>
      <c r="U79" s="268"/>
      <c r="V79" s="268"/>
      <c r="W79" s="369"/>
    </row>
    <row r="80" spans="1:23" s="267" customFormat="1" ht="13">
      <c r="A80" s="420" t="s">
        <v>68</v>
      </c>
      <c r="B80" s="278">
        <v>0</v>
      </c>
      <c r="C80" s="278">
        <v>0</v>
      </c>
      <c r="D80" s="278">
        <v>0</v>
      </c>
      <c r="E80" s="278">
        <v>0</v>
      </c>
      <c r="F80" s="278">
        <v>0</v>
      </c>
      <c r="G80" s="278">
        <v>0</v>
      </c>
      <c r="H80" s="278">
        <v>1500</v>
      </c>
      <c r="I80" s="278">
        <v>0</v>
      </c>
      <c r="J80" s="278">
        <v>1500</v>
      </c>
      <c r="K80" s="278">
        <v>0</v>
      </c>
      <c r="L80" s="278">
        <v>0</v>
      </c>
      <c r="M80" s="654">
        <v>0</v>
      </c>
      <c r="N80" s="468">
        <f t="shared" si="18"/>
        <v>3000</v>
      </c>
      <c r="O80" s="397">
        <v>4500</v>
      </c>
      <c r="P80" s="271">
        <v>0</v>
      </c>
      <c r="Q80" s="286">
        <f t="shared" ref="Q80:Q85" si="19">N80-P80</f>
        <v>3000</v>
      </c>
      <c r="R80" s="397">
        <v>4500</v>
      </c>
      <c r="S80" s="398">
        <f t="shared" si="15"/>
        <v>0</v>
      </c>
      <c r="T80" s="506"/>
      <c r="U80" s="268"/>
      <c r="V80" s="268"/>
      <c r="W80" s="369"/>
    </row>
    <row r="81" spans="1:23" s="267" customFormat="1" ht="13">
      <c r="A81" s="420" t="s">
        <v>69</v>
      </c>
      <c r="B81" s="278">
        <v>0</v>
      </c>
      <c r="C81" s="278">
        <v>0</v>
      </c>
      <c r="D81" s="278">
        <v>0</v>
      </c>
      <c r="E81" s="278">
        <v>0</v>
      </c>
      <c r="F81" s="278">
        <v>0</v>
      </c>
      <c r="G81" s="278">
        <v>0</v>
      </c>
      <c r="H81" s="278">
        <v>6000</v>
      </c>
      <c r="I81" s="278">
        <v>0</v>
      </c>
      <c r="J81" s="278">
        <v>6000</v>
      </c>
      <c r="K81" s="278">
        <v>0</v>
      </c>
      <c r="L81" s="278">
        <v>0</v>
      </c>
      <c r="M81" s="654">
        <v>0</v>
      </c>
      <c r="N81" s="468">
        <f t="shared" si="18"/>
        <v>12000</v>
      </c>
      <c r="O81" s="397">
        <v>18000</v>
      </c>
      <c r="P81" s="271">
        <v>7500</v>
      </c>
      <c r="Q81" s="286">
        <f t="shared" si="19"/>
        <v>4500</v>
      </c>
      <c r="R81" s="397">
        <v>18000</v>
      </c>
      <c r="S81" s="398">
        <f t="shared" si="15"/>
        <v>0</v>
      </c>
      <c r="T81" s="506"/>
      <c r="U81" s="268"/>
      <c r="V81" s="268"/>
      <c r="W81" s="369"/>
    </row>
    <row r="82" spans="1:23" s="267" customFormat="1" ht="13">
      <c r="A82" s="420" t="s">
        <v>70</v>
      </c>
      <c r="B82" s="278">
        <v>0</v>
      </c>
      <c r="C82" s="278">
        <v>0</v>
      </c>
      <c r="D82" s="278">
        <v>0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654">
        <v>0</v>
      </c>
      <c r="N82" s="468">
        <f t="shared" si="18"/>
        <v>0</v>
      </c>
      <c r="O82" s="397">
        <v>0</v>
      </c>
      <c r="P82" s="271">
        <v>0</v>
      </c>
      <c r="Q82" s="286">
        <f t="shared" si="19"/>
        <v>0</v>
      </c>
      <c r="R82" s="397">
        <v>0</v>
      </c>
      <c r="S82" s="398">
        <f t="shared" si="15"/>
        <v>0</v>
      </c>
      <c r="T82" s="506"/>
      <c r="U82" s="268"/>
      <c r="V82" s="268"/>
      <c r="W82" s="369"/>
    </row>
    <row r="83" spans="1:23" s="267" customFormat="1" ht="13">
      <c r="A83" s="420" t="s">
        <v>71</v>
      </c>
      <c r="B83" s="278">
        <v>0</v>
      </c>
      <c r="C83" s="278">
        <v>0</v>
      </c>
      <c r="D83" s="278">
        <v>0</v>
      </c>
      <c r="E83" s="278">
        <v>0</v>
      </c>
      <c r="F83" s="278">
        <v>0</v>
      </c>
      <c r="G83" s="278">
        <v>0</v>
      </c>
      <c r="H83" s="278">
        <v>0</v>
      </c>
      <c r="I83" s="278">
        <v>4300</v>
      </c>
      <c r="J83" s="278">
        <v>0</v>
      </c>
      <c r="K83" s="278">
        <v>4300</v>
      </c>
      <c r="L83" s="278">
        <v>0</v>
      </c>
      <c r="M83" s="654">
        <v>0</v>
      </c>
      <c r="N83" s="468">
        <f t="shared" si="18"/>
        <v>8600</v>
      </c>
      <c r="O83" s="397">
        <v>12900</v>
      </c>
      <c r="P83" s="271">
        <v>0</v>
      </c>
      <c r="Q83" s="286">
        <f t="shared" si="19"/>
        <v>8600</v>
      </c>
      <c r="R83" s="397">
        <v>12900</v>
      </c>
      <c r="S83" s="398">
        <f t="shared" si="15"/>
        <v>0</v>
      </c>
      <c r="T83" s="506"/>
      <c r="U83" s="268"/>
      <c r="V83" s="268"/>
      <c r="W83" s="369"/>
    </row>
    <row r="84" spans="1:23" s="267" customFormat="1" ht="13">
      <c r="A84" s="420" t="s">
        <v>72</v>
      </c>
      <c r="B84" s="278">
        <v>0</v>
      </c>
      <c r="C84" s="278">
        <v>0</v>
      </c>
      <c r="D84" s="278">
        <v>0</v>
      </c>
      <c r="E84" s="278">
        <v>0</v>
      </c>
      <c r="F84" s="278">
        <v>0</v>
      </c>
      <c r="G84" s="278">
        <v>0</v>
      </c>
      <c r="H84" s="278">
        <v>8400</v>
      </c>
      <c r="I84" s="278">
        <v>0</v>
      </c>
      <c r="J84" s="278">
        <v>8400</v>
      </c>
      <c r="K84" s="278">
        <v>0</v>
      </c>
      <c r="L84" s="278">
        <v>0</v>
      </c>
      <c r="M84" s="654">
        <v>0</v>
      </c>
      <c r="N84" s="468">
        <f t="shared" si="18"/>
        <v>16800</v>
      </c>
      <c r="O84" s="397">
        <v>25200</v>
      </c>
      <c r="P84" s="271">
        <v>0</v>
      </c>
      <c r="Q84" s="286">
        <f t="shared" si="19"/>
        <v>16800</v>
      </c>
      <c r="R84" s="397">
        <v>25200</v>
      </c>
      <c r="S84" s="398">
        <f t="shared" si="15"/>
        <v>0</v>
      </c>
      <c r="T84" s="506"/>
      <c r="U84" s="268"/>
      <c r="V84" s="268"/>
      <c r="W84" s="369"/>
    </row>
    <row r="85" spans="1:23" s="267" customFormat="1" ht="13">
      <c r="A85" s="420" t="s">
        <v>73</v>
      </c>
      <c r="B85" s="278">
        <v>0</v>
      </c>
      <c r="C85" s="278">
        <v>0</v>
      </c>
      <c r="D85" s="278">
        <v>0</v>
      </c>
      <c r="E85" s="278">
        <v>0</v>
      </c>
      <c r="F85" s="278">
        <v>0</v>
      </c>
      <c r="G85" s="278">
        <v>0</v>
      </c>
      <c r="H85" s="278">
        <v>9000</v>
      </c>
      <c r="I85" s="278">
        <v>0</v>
      </c>
      <c r="J85" s="278">
        <v>9000</v>
      </c>
      <c r="K85" s="278">
        <v>0</v>
      </c>
      <c r="L85" s="278">
        <v>0</v>
      </c>
      <c r="M85" s="654">
        <v>0</v>
      </c>
      <c r="N85" s="468">
        <f t="shared" si="18"/>
        <v>18000</v>
      </c>
      <c r="O85" s="397">
        <v>27000</v>
      </c>
      <c r="P85" s="271">
        <v>15442</v>
      </c>
      <c r="Q85" s="286">
        <f t="shared" si="19"/>
        <v>2558</v>
      </c>
      <c r="R85" s="397">
        <v>27000</v>
      </c>
      <c r="S85" s="398">
        <f t="shared" si="15"/>
        <v>0</v>
      </c>
      <c r="T85" s="503"/>
      <c r="U85" s="369"/>
      <c r="V85" s="369"/>
      <c r="W85" s="369"/>
    </row>
    <row r="86" spans="1:23" s="267" customFormat="1" ht="13">
      <c r="A86" s="419" t="s">
        <v>171</v>
      </c>
      <c r="B86" s="639">
        <f>SUM(B79:B85)</f>
        <v>0</v>
      </c>
      <c r="C86" s="469">
        <f t="shared" ref="C86:M86" si="20">SUM(C79:C85)</f>
        <v>0</v>
      </c>
      <c r="D86" s="469">
        <f t="shared" si="20"/>
        <v>0</v>
      </c>
      <c r="E86" s="469">
        <f t="shared" si="20"/>
        <v>0</v>
      </c>
      <c r="F86" s="469">
        <f t="shared" si="20"/>
        <v>0</v>
      </c>
      <c r="G86" s="469">
        <f t="shared" si="20"/>
        <v>0</v>
      </c>
      <c r="H86" s="469">
        <f t="shared" si="20"/>
        <v>31900</v>
      </c>
      <c r="I86" s="469">
        <f t="shared" si="20"/>
        <v>4300</v>
      </c>
      <c r="J86" s="469">
        <f t="shared" si="20"/>
        <v>31900</v>
      </c>
      <c r="K86" s="469">
        <f t="shared" si="20"/>
        <v>4300</v>
      </c>
      <c r="L86" s="469">
        <f t="shared" si="20"/>
        <v>0</v>
      </c>
      <c r="M86" s="660">
        <f t="shared" si="20"/>
        <v>0</v>
      </c>
      <c r="N86" s="467">
        <f t="shared" si="18"/>
        <v>72400</v>
      </c>
      <c r="O86" s="399">
        <f>0+SUM(O79:O85)</f>
        <v>109100</v>
      </c>
      <c r="P86" s="469">
        <v>27942</v>
      </c>
      <c r="Q86" s="469">
        <f>N86-P86</f>
        <v>44458</v>
      </c>
      <c r="R86" s="573">
        <f>0+SUM(R79:R85)</f>
        <v>109100</v>
      </c>
      <c r="S86" s="398">
        <f t="shared" si="15"/>
        <v>0</v>
      </c>
      <c r="T86" s="503"/>
      <c r="U86" s="369"/>
      <c r="V86" s="369"/>
      <c r="W86" s="369"/>
    </row>
    <row r="87" spans="1:23" s="267" customFormat="1" ht="6" hidden="1" customHeight="1">
      <c r="A87" s="419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656"/>
      <c r="N87" s="468"/>
      <c r="O87" s="397"/>
      <c r="P87" s="370"/>
      <c r="Q87" s="370"/>
      <c r="R87" s="397"/>
      <c r="S87" s="398">
        <f t="shared" si="15"/>
        <v>0</v>
      </c>
      <c r="T87" s="503"/>
      <c r="U87" s="369"/>
      <c r="V87" s="369"/>
      <c r="W87" s="369"/>
    </row>
    <row r="88" spans="1:23" s="267" customFormat="1" ht="13" hidden="1">
      <c r="A88" s="424" t="s">
        <v>172</v>
      </c>
      <c r="B88" s="278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654"/>
      <c r="N88" s="468"/>
      <c r="O88" s="397"/>
      <c r="P88" s="370"/>
      <c r="Q88" s="370"/>
      <c r="R88" s="397"/>
      <c r="S88" s="398">
        <f t="shared" si="15"/>
        <v>0</v>
      </c>
      <c r="T88" s="503"/>
      <c r="U88" s="369"/>
      <c r="V88" s="369"/>
      <c r="W88" s="369"/>
    </row>
    <row r="89" spans="1:23" s="267" customFormat="1" ht="13" hidden="1">
      <c r="A89" s="425" t="s">
        <v>173</v>
      </c>
      <c r="B89" s="278" t="e">
        <f>#REF!-#REF!</f>
        <v>#REF!</v>
      </c>
      <c r="C89" s="271" t="e">
        <f>#REF!-#REF!</f>
        <v>#REF!</v>
      </c>
      <c r="D89" s="271" t="e">
        <f>B89-#REF!</f>
        <v>#REF!</v>
      </c>
      <c r="E89" s="271" t="e">
        <f t="shared" ref="E89:M89" si="21">C89-B89</f>
        <v>#REF!</v>
      </c>
      <c r="F89" s="271" t="e">
        <f t="shared" si="21"/>
        <v>#REF!</v>
      </c>
      <c r="G89" s="271" t="e">
        <f t="shared" si="21"/>
        <v>#REF!</v>
      </c>
      <c r="H89" s="271" t="e">
        <f t="shared" si="21"/>
        <v>#REF!</v>
      </c>
      <c r="I89" s="271" t="e">
        <f t="shared" si="21"/>
        <v>#REF!</v>
      </c>
      <c r="J89" s="271" t="e">
        <f t="shared" si="21"/>
        <v>#REF!</v>
      </c>
      <c r="K89" s="271" t="e">
        <f t="shared" si="21"/>
        <v>#REF!</v>
      </c>
      <c r="L89" s="271" t="e">
        <f t="shared" si="21"/>
        <v>#REF!</v>
      </c>
      <c r="M89" s="654" t="e">
        <f t="shared" si="21"/>
        <v>#REF!</v>
      </c>
      <c r="N89" s="468"/>
      <c r="O89" s="397"/>
      <c r="P89" s="370"/>
      <c r="Q89" s="370"/>
      <c r="R89" s="397"/>
      <c r="S89" s="398">
        <f t="shared" si="15"/>
        <v>0</v>
      </c>
      <c r="T89" s="503"/>
      <c r="U89" s="369"/>
      <c r="V89" s="369"/>
      <c r="W89" s="369"/>
    </row>
    <row r="90" spans="1:23" s="267" customFormat="1" ht="13" hidden="1">
      <c r="A90" s="425" t="s">
        <v>174</v>
      </c>
      <c r="B90" s="278">
        <f>0</f>
        <v>0</v>
      </c>
      <c r="C90" s="271">
        <f>0</f>
        <v>0</v>
      </c>
      <c r="D90" s="271">
        <f>0</f>
        <v>0</v>
      </c>
      <c r="E90" s="271">
        <f>0</f>
        <v>0</v>
      </c>
      <c r="F90" s="271">
        <f>0</f>
        <v>0</v>
      </c>
      <c r="G90" s="271">
        <f>0</f>
        <v>0</v>
      </c>
      <c r="H90" s="271">
        <f>0</f>
        <v>0</v>
      </c>
      <c r="I90" s="271">
        <f>0</f>
        <v>0</v>
      </c>
      <c r="J90" s="271">
        <f>0</f>
        <v>0</v>
      </c>
      <c r="K90" s="271">
        <v>0</v>
      </c>
      <c r="L90" s="271">
        <f>0</f>
        <v>0</v>
      </c>
      <c r="M90" s="654">
        <f>0</f>
        <v>0</v>
      </c>
      <c r="N90" s="468"/>
      <c r="O90" s="397"/>
      <c r="P90" s="370"/>
      <c r="Q90" s="370"/>
      <c r="R90" s="397"/>
      <c r="S90" s="398">
        <f t="shared" si="15"/>
        <v>0</v>
      </c>
      <c r="T90" s="503"/>
      <c r="U90" s="369"/>
      <c r="V90" s="369"/>
      <c r="W90" s="369"/>
    </row>
    <row r="91" spans="1:23" s="267" customFormat="1" ht="13" hidden="1">
      <c r="A91" s="424" t="s">
        <v>175</v>
      </c>
      <c r="B91" s="278" t="e">
        <f>SUM(B89:B90)</f>
        <v>#REF!</v>
      </c>
      <c r="C91" s="271" t="e">
        <f t="shared" ref="C91:M91" si="22">SUM(C89:C90)</f>
        <v>#REF!</v>
      </c>
      <c r="D91" s="271" t="e">
        <f t="shared" si="22"/>
        <v>#REF!</v>
      </c>
      <c r="E91" s="271" t="e">
        <f t="shared" si="22"/>
        <v>#REF!</v>
      </c>
      <c r="F91" s="271" t="e">
        <f t="shared" si="22"/>
        <v>#REF!</v>
      </c>
      <c r="G91" s="271" t="e">
        <f t="shared" si="22"/>
        <v>#REF!</v>
      </c>
      <c r="H91" s="271" t="e">
        <f t="shared" si="22"/>
        <v>#REF!</v>
      </c>
      <c r="I91" s="271" t="e">
        <f t="shared" si="22"/>
        <v>#REF!</v>
      </c>
      <c r="J91" s="271" t="e">
        <f t="shared" si="22"/>
        <v>#REF!</v>
      </c>
      <c r="K91" s="271" t="e">
        <f t="shared" si="22"/>
        <v>#REF!</v>
      </c>
      <c r="L91" s="271" t="e">
        <f t="shared" si="22"/>
        <v>#REF!</v>
      </c>
      <c r="M91" s="654" t="e">
        <f t="shared" si="22"/>
        <v>#REF!</v>
      </c>
      <c r="N91" s="468"/>
      <c r="O91" s="397"/>
      <c r="P91" s="370"/>
      <c r="Q91" s="370"/>
      <c r="R91" s="397"/>
      <c r="S91" s="398">
        <f t="shared" si="15"/>
        <v>0</v>
      </c>
      <c r="T91" s="503"/>
      <c r="U91" s="369"/>
      <c r="V91" s="369"/>
      <c r="W91" s="369"/>
    </row>
    <row r="92" spans="1:23" s="267" customFormat="1" ht="15" customHeight="1">
      <c r="A92" s="419"/>
      <c r="B92" s="278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654"/>
      <c r="N92" s="468"/>
      <c r="O92" s="397"/>
      <c r="P92" s="370"/>
      <c r="Q92" s="370"/>
      <c r="R92" s="397"/>
      <c r="S92" s="398">
        <f t="shared" si="15"/>
        <v>0</v>
      </c>
      <c r="T92" s="503"/>
      <c r="U92" s="369"/>
      <c r="V92" s="369"/>
      <c r="W92" s="369"/>
    </row>
    <row r="93" spans="1:23" s="267" customFormat="1" ht="13">
      <c r="A93" s="419" t="s">
        <v>176</v>
      </c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654"/>
      <c r="N93" s="468"/>
      <c r="O93" s="397"/>
      <c r="P93" s="133"/>
      <c r="Q93" s="133"/>
      <c r="R93" s="397"/>
      <c r="S93" s="398">
        <f t="shared" si="15"/>
        <v>0</v>
      </c>
      <c r="T93" s="500"/>
    </row>
    <row r="94" spans="1:23" s="267" customFormat="1" ht="13">
      <c r="A94" s="420" t="s">
        <v>177</v>
      </c>
      <c r="B94" s="382">
        <v>1000</v>
      </c>
      <c r="C94" s="675">
        <v>0</v>
      </c>
      <c r="D94" s="675">
        <v>0</v>
      </c>
      <c r="E94" s="675">
        <v>0</v>
      </c>
      <c r="F94" s="675">
        <v>0</v>
      </c>
      <c r="G94" s="382">
        <v>1000</v>
      </c>
      <c r="H94" s="382">
        <v>0</v>
      </c>
      <c r="I94" s="382">
        <v>0</v>
      </c>
      <c r="J94" s="382">
        <v>0</v>
      </c>
      <c r="K94" s="382">
        <v>0</v>
      </c>
      <c r="L94" s="382">
        <v>0</v>
      </c>
      <c r="M94" s="661">
        <v>1000</v>
      </c>
      <c r="N94" s="645">
        <f t="shared" ref="N94:N98" si="23">SUM(B94:M94)</f>
        <v>3000</v>
      </c>
      <c r="O94" s="397">
        <v>16000</v>
      </c>
      <c r="P94" s="271">
        <v>10934</v>
      </c>
      <c r="Q94" s="274">
        <f>N94-P94</f>
        <v>-7934</v>
      </c>
      <c r="R94" s="397">
        <v>34200</v>
      </c>
      <c r="S94" s="398">
        <f t="shared" si="15"/>
        <v>-18200</v>
      </c>
      <c r="T94" s="500"/>
    </row>
    <row r="95" spans="1:23" s="267" customFormat="1" ht="13">
      <c r="A95" s="420" t="s">
        <v>178</v>
      </c>
      <c r="B95" s="278">
        <v>2100</v>
      </c>
      <c r="C95" s="278">
        <v>2100</v>
      </c>
      <c r="D95" s="278">
        <v>2100</v>
      </c>
      <c r="E95" s="278">
        <v>2100</v>
      </c>
      <c r="F95" s="278">
        <v>2100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654">
        <v>0</v>
      </c>
      <c r="N95" s="468">
        <f t="shared" si="23"/>
        <v>10500</v>
      </c>
      <c r="O95" s="397">
        <v>15600</v>
      </c>
      <c r="P95" s="271">
        <v>40387.379999999997</v>
      </c>
      <c r="Q95" s="274">
        <f>N95-P95</f>
        <v>-29887.379999999997</v>
      </c>
      <c r="R95" s="397">
        <v>52000</v>
      </c>
      <c r="S95" s="398">
        <f t="shared" si="15"/>
        <v>-36400</v>
      </c>
      <c r="T95" s="500"/>
    </row>
    <row r="96" spans="1:23" s="267" customFormat="1" ht="13">
      <c r="A96" s="420" t="s">
        <v>180</v>
      </c>
      <c r="B96" s="278">
        <v>0</v>
      </c>
      <c r="C96" s="278">
        <v>0</v>
      </c>
      <c r="D96" s="278">
        <v>0</v>
      </c>
      <c r="E96" s="278">
        <v>0</v>
      </c>
      <c r="F96" s="278">
        <v>0</v>
      </c>
      <c r="G96" s="278">
        <v>0</v>
      </c>
      <c r="H96" s="278">
        <v>0</v>
      </c>
      <c r="I96" s="278">
        <v>0</v>
      </c>
      <c r="J96" s="278">
        <v>0</v>
      </c>
      <c r="K96" s="278">
        <v>0</v>
      </c>
      <c r="L96" s="278">
        <v>0</v>
      </c>
      <c r="M96" s="654">
        <v>0</v>
      </c>
      <c r="N96" s="468">
        <f t="shared" si="23"/>
        <v>0</v>
      </c>
      <c r="O96" s="397">
        <v>0</v>
      </c>
      <c r="P96" s="271"/>
      <c r="Q96" s="274"/>
      <c r="R96" s="397">
        <v>0</v>
      </c>
      <c r="S96" s="398">
        <f t="shared" si="15"/>
        <v>0</v>
      </c>
      <c r="T96" s="500"/>
    </row>
    <row r="97" spans="1:20" s="267" customFormat="1" ht="13">
      <c r="A97" s="420" t="s">
        <v>181</v>
      </c>
      <c r="B97" s="278">
        <v>0</v>
      </c>
      <c r="C97" s="278">
        <v>0</v>
      </c>
      <c r="D97" s="278">
        <v>0</v>
      </c>
      <c r="E97" s="278">
        <v>0</v>
      </c>
      <c r="F97" s="278">
        <v>0</v>
      </c>
      <c r="G97" s="278">
        <v>0</v>
      </c>
      <c r="H97" s="278">
        <v>0</v>
      </c>
      <c r="I97" s="278">
        <v>0</v>
      </c>
      <c r="J97" s="278">
        <v>0</v>
      </c>
      <c r="K97" s="278">
        <v>0</v>
      </c>
      <c r="L97" s="278">
        <v>0</v>
      </c>
      <c r="M97" s="654">
        <v>0</v>
      </c>
      <c r="N97" s="468">
        <f t="shared" si="23"/>
        <v>0</v>
      </c>
      <c r="O97" s="397">
        <v>0</v>
      </c>
      <c r="P97" s="271"/>
      <c r="Q97" s="274"/>
      <c r="R97" s="397">
        <v>0</v>
      </c>
      <c r="S97" s="398">
        <f t="shared" si="15"/>
        <v>0</v>
      </c>
      <c r="T97" s="500"/>
    </row>
    <row r="98" spans="1:20" s="267" customFormat="1" ht="13">
      <c r="A98" s="420" t="s">
        <v>182</v>
      </c>
      <c r="B98" s="278">
        <v>500</v>
      </c>
      <c r="C98" s="278">
        <v>500</v>
      </c>
      <c r="D98" s="278">
        <v>500</v>
      </c>
      <c r="E98" s="278">
        <v>500</v>
      </c>
      <c r="F98" s="278">
        <v>500</v>
      </c>
      <c r="G98" s="278">
        <v>500</v>
      </c>
      <c r="H98" s="278">
        <v>500</v>
      </c>
      <c r="I98" s="278">
        <v>500</v>
      </c>
      <c r="J98" s="278">
        <v>500</v>
      </c>
      <c r="K98" s="278">
        <v>500</v>
      </c>
      <c r="L98" s="278">
        <v>500</v>
      </c>
      <c r="M98" s="654">
        <v>500</v>
      </c>
      <c r="N98" s="468">
        <f t="shared" si="23"/>
        <v>6000</v>
      </c>
      <c r="O98" s="397">
        <v>12500</v>
      </c>
      <c r="P98" s="271"/>
      <c r="Q98" s="274"/>
      <c r="R98" s="397">
        <v>12500</v>
      </c>
      <c r="S98" s="398">
        <f t="shared" si="15"/>
        <v>0</v>
      </c>
      <c r="T98" s="500"/>
    </row>
    <row r="99" spans="1:20" s="267" customFormat="1" ht="13">
      <c r="A99" s="420" t="s">
        <v>184</v>
      </c>
      <c r="B99" s="278"/>
      <c r="C99" s="278"/>
      <c r="D99" s="278"/>
      <c r="E99" s="278"/>
      <c r="F99" s="278"/>
      <c r="G99" s="278"/>
      <c r="H99" s="271"/>
      <c r="I99" s="271"/>
      <c r="J99" s="271"/>
      <c r="K99" s="271"/>
      <c r="L99" s="271"/>
      <c r="M99" s="654"/>
      <c r="N99" s="646"/>
      <c r="O99" s="397"/>
      <c r="P99" s="271"/>
      <c r="Q99" s="274">
        <f>N99-P99</f>
        <v>0</v>
      </c>
      <c r="R99" s="397"/>
      <c r="S99" s="398">
        <f t="shared" si="15"/>
        <v>0</v>
      </c>
      <c r="T99" s="500"/>
    </row>
    <row r="100" spans="1:20" s="267" customFormat="1" ht="13">
      <c r="A100" s="420" t="s">
        <v>186</v>
      </c>
      <c r="B100" s="367">
        <v>0</v>
      </c>
      <c r="C100" s="278">
        <v>0</v>
      </c>
      <c r="D100" s="278">
        <v>0</v>
      </c>
      <c r="E100" s="278">
        <v>0</v>
      </c>
      <c r="F100" s="278">
        <v>0</v>
      </c>
      <c r="G100" s="278">
        <v>0</v>
      </c>
      <c r="H100" s="278">
        <v>0</v>
      </c>
      <c r="I100" s="278">
        <v>0</v>
      </c>
      <c r="J100" s="278">
        <v>0</v>
      </c>
      <c r="K100" s="677">
        <v>0</v>
      </c>
      <c r="L100" s="278">
        <v>0</v>
      </c>
      <c r="M100" s="654">
        <v>0</v>
      </c>
      <c r="N100" s="468">
        <f>SUM(B100:M100)</f>
        <v>0</v>
      </c>
      <c r="O100" s="397">
        <v>3500</v>
      </c>
      <c r="P100" s="271">
        <v>0</v>
      </c>
      <c r="Q100" s="274">
        <f>N100-P100</f>
        <v>0</v>
      </c>
      <c r="R100" s="397">
        <v>7000</v>
      </c>
      <c r="S100" s="398">
        <f t="shared" si="15"/>
        <v>-3500</v>
      </c>
      <c r="T100" s="500"/>
    </row>
    <row r="101" spans="1:20" s="267" customFormat="1" ht="13">
      <c r="A101" s="420" t="s">
        <v>187</v>
      </c>
      <c r="B101" s="367">
        <v>0</v>
      </c>
      <c r="C101" s="278">
        <v>0</v>
      </c>
      <c r="D101" s="278">
        <v>0</v>
      </c>
      <c r="E101" s="278">
        <v>0</v>
      </c>
      <c r="F101" s="278">
        <v>0</v>
      </c>
      <c r="G101" s="278">
        <v>0</v>
      </c>
      <c r="H101" s="278">
        <v>0</v>
      </c>
      <c r="I101" s="278">
        <v>0</v>
      </c>
      <c r="J101" s="278">
        <v>0</v>
      </c>
      <c r="K101" s="677">
        <v>0</v>
      </c>
      <c r="L101" s="278">
        <v>0</v>
      </c>
      <c r="M101" s="654">
        <v>0</v>
      </c>
      <c r="N101" s="468">
        <f t="shared" ref="N101:N107" si="24">SUM(B101:M101)</f>
        <v>0</v>
      </c>
      <c r="O101" s="397">
        <v>1500</v>
      </c>
      <c r="P101" s="271">
        <v>11057.409999999998</v>
      </c>
      <c r="Q101" s="274">
        <f>N101-P101</f>
        <v>-11057.409999999998</v>
      </c>
      <c r="R101" s="397">
        <v>3000</v>
      </c>
      <c r="S101" s="398">
        <f t="shared" si="15"/>
        <v>-1500</v>
      </c>
      <c r="T101" s="500"/>
    </row>
    <row r="102" spans="1:20" s="267" customFormat="1" ht="13">
      <c r="A102" s="420" t="s">
        <v>188</v>
      </c>
      <c r="B102" s="367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8">
        <v>0</v>
      </c>
      <c r="J102" s="278">
        <v>0</v>
      </c>
      <c r="K102" s="677">
        <v>0</v>
      </c>
      <c r="L102" s="278">
        <v>0</v>
      </c>
      <c r="M102" s="654">
        <v>0</v>
      </c>
      <c r="N102" s="468">
        <f>SUM(B102:M102)</f>
        <v>0</v>
      </c>
      <c r="O102" s="397">
        <v>1000</v>
      </c>
      <c r="P102" s="271">
        <v>5082.8500000000004</v>
      </c>
      <c r="Q102" s="274">
        <f>N102-P102</f>
        <v>-5082.8500000000004</v>
      </c>
      <c r="R102" s="397">
        <v>2000</v>
      </c>
      <c r="S102" s="398">
        <f t="shared" si="15"/>
        <v>-1000</v>
      </c>
      <c r="T102" s="500"/>
    </row>
    <row r="103" spans="1:20" s="267" customFormat="1" ht="13">
      <c r="A103" s="420" t="s">
        <v>189</v>
      </c>
      <c r="B103" s="367">
        <v>0</v>
      </c>
      <c r="C103" s="278">
        <v>0</v>
      </c>
      <c r="D103" s="278">
        <v>0</v>
      </c>
      <c r="E103" s="278">
        <v>0</v>
      </c>
      <c r="F103" s="278">
        <v>0</v>
      </c>
      <c r="G103" s="278">
        <v>0</v>
      </c>
      <c r="H103" s="278">
        <v>0</v>
      </c>
      <c r="I103" s="278">
        <v>0</v>
      </c>
      <c r="J103" s="278">
        <v>0</v>
      </c>
      <c r="K103" s="677">
        <v>0</v>
      </c>
      <c r="L103" s="278">
        <v>0</v>
      </c>
      <c r="M103" s="654">
        <v>0</v>
      </c>
      <c r="N103" s="468">
        <f t="shared" si="24"/>
        <v>0</v>
      </c>
      <c r="O103" s="397">
        <v>1000</v>
      </c>
      <c r="P103" s="271">
        <v>7928.23</v>
      </c>
      <c r="Q103" s="274">
        <f>N103-P103</f>
        <v>-7928.23</v>
      </c>
      <c r="R103" s="397">
        <v>2000</v>
      </c>
      <c r="S103" s="398">
        <f t="shared" si="15"/>
        <v>-1000</v>
      </c>
      <c r="T103" s="500"/>
    </row>
    <row r="104" spans="1:20" s="267" customFormat="1" ht="13">
      <c r="A104" s="420" t="s">
        <v>190</v>
      </c>
      <c r="B104" s="367">
        <v>0</v>
      </c>
      <c r="C104" s="278">
        <v>0</v>
      </c>
      <c r="D104" s="278">
        <v>0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K104" s="677">
        <v>0</v>
      </c>
      <c r="L104" s="278">
        <v>0</v>
      </c>
      <c r="M104" s="654">
        <v>0</v>
      </c>
      <c r="N104" s="468">
        <f t="shared" si="24"/>
        <v>0</v>
      </c>
      <c r="O104" s="397">
        <v>2000</v>
      </c>
      <c r="P104" s="271"/>
      <c r="Q104" s="274"/>
      <c r="R104" s="397">
        <v>4000</v>
      </c>
      <c r="S104" s="398">
        <f t="shared" si="15"/>
        <v>-2000</v>
      </c>
      <c r="T104" s="500"/>
    </row>
    <row r="105" spans="1:20" s="267" customFormat="1" ht="13">
      <c r="A105" s="426" t="s">
        <v>191</v>
      </c>
      <c r="B105" s="367">
        <v>0</v>
      </c>
      <c r="C105" s="278">
        <v>0</v>
      </c>
      <c r="D105" s="278">
        <v>0</v>
      </c>
      <c r="E105" s="278">
        <v>0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677">
        <v>0</v>
      </c>
      <c r="L105" s="278">
        <v>0</v>
      </c>
      <c r="M105" s="654">
        <v>0</v>
      </c>
      <c r="N105" s="468">
        <f t="shared" si="24"/>
        <v>0</v>
      </c>
      <c r="O105" s="397">
        <v>1000</v>
      </c>
      <c r="P105" s="271"/>
      <c r="Q105" s="274"/>
      <c r="R105" s="397">
        <v>2000</v>
      </c>
      <c r="S105" s="398">
        <f t="shared" si="15"/>
        <v>-1000</v>
      </c>
      <c r="T105" s="500"/>
    </row>
    <row r="106" spans="1:20" s="267" customFormat="1" ht="13">
      <c r="A106" s="577" t="s">
        <v>192</v>
      </c>
      <c r="B106" s="367">
        <v>200</v>
      </c>
      <c r="C106" s="278">
        <v>200</v>
      </c>
      <c r="D106" s="278">
        <v>200</v>
      </c>
      <c r="E106" s="278">
        <v>200</v>
      </c>
      <c r="F106" s="278">
        <v>200</v>
      </c>
      <c r="G106" s="278">
        <v>200</v>
      </c>
      <c r="H106" s="278">
        <v>200</v>
      </c>
      <c r="I106" s="278">
        <v>200</v>
      </c>
      <c r="J106" s="278">
        <v>200</v>
      </c>
      <c r="K106" s="278">
        <v>200</v>
      </c>
      <c r="L106" s="278">
        <v>200</v>
      </c>
      <c r="M106" s="654">
        <v>200</v>
      </c>
      <c r="N106" s="468">
        <f>SUM(B106:M106)</f>
        <v>2400</v>
      </c>
      <c r="O106" s="397">
        <v>2400</v>
      </c>
      <c r="P106" s="271"/>
      <c r="Q106" s="274"/>
      <c r="R106" s="397">
        <v>2400</v>
      </c>
      <c r="S106" s="398">
        <f t="shared" si="15"/>
        <v>0</v>
      </c>
      <c r="T106" s="500"/>
    </row>
    <row r="107" spans="1:20" s="267" customFormat="1" ht="13">
      <c r="A107" s="577" t="s">
        <v>193</v>
      </c>
      <c r="B107" s="676">
        <v>0</v>
      </c>
      <c r="C107" s="677">
        <v>0</v>
      </c>
      <c r="D107" s="677">
        <v>0</v>
      </c>
      <c r="E107" s="677">
        <v>0</v>
      </c>
      <c r="F107" s="677">
        <v>0</v>
      </c>
      <c r="G107" s="677">
        <v>0</v>
      </c>
      <c r="H107" s="677">
        <v>0</v>
      </c>
      <c r="I107" s="677">
        <v>0</v>
      </c>
      <c r="J107" s="677">
        <v>0</v>
      </c>
      <c r="K107" s="677">
        <v>0</v>
      </c>
      <c r="L107" s="677">
        <v>0</v>
      </c>
      <c r="M107" s="696">
        <v>0</v>
      </c>
      <c r="N107" s="468">
        <f t="shared" si="24"/>
        <v>0</v>
      </c>
      <c r="O107" s="397">
        <v>22000</v>
      </c>
      <c r="P107" s="278"/>
      <c r="Q107" s="286"/>
      <c r="R107" s="397">
        <v>24000</v>
      </c>
      <c r="S107" s="398">
        <f t="shared" si="15"/>
        <v>-2000</v>
      </c>
      <c r="T107" s="500"/>
    </row>
    <row r="108" spans="1:20" s="267" customFormat="1" ht="13">
      <c r="A108" s="577" t="s">
        <v>194</v>
      </c>
      <c r="B108" s="676">
        <v>0</v>
      </c>
      <c r="C108" s="677">
        <v>0</v>
      </c>
      <c r="D108" s="677">
        <v>0</v>
      </c>
      <c r="E108" s="677">
        <v>0</v>
      </c>
      <c r="F108" s="677">
        <v>0</v>
      </c>
      <c r="G108" s="677">
        <v>0</v>
      </c>
      <c r="H108" s="677">
        <v>0</v>
      </c>
      <c r="I108" s="677">
        <v>0</v>
      </c>
      <c r="J108" s="677">
        <v>0</v>
      </c>
      <c r="K108" s="677">
        <v>0</v>
      </c>
      <c r="L108" s="677">
        <v>0</v>
      </c>
      <c r="M108" s="696">
        <v>0</v>
      </c>
      <c r="N108" s="468">
        <f>SUM(B108:M108)</f>
        <v>0</v>
      </c>
      <c r="O108" s="397">
        <v>35000</v>
      </c>
      <c r="P108" s="278"/>
      <c r="Q108" s="286"/>
      <c r="R108" s="397">
        <v>64000</v>
      </c>
      <c r="S108" s="398">
        <f t="shared" si="15"/>
        <v>-29000</v>
      </c>
      <c r="T108" s="500"/>
    </row>
    <row r="109" spans="1:20" s="267" customFormat="1" ht="13">
      <c r="A109" s="419" t="s">
        <v>92</v>
      </c>
      <c r="B109" s="469">
        <f t="shared" ref="B109:M109" si="25">SUM(B94:B108)</f>
        <v>3800</v>
      </c>
      <c r="C109" s="272">
        <f t="shared" si="25"/>
        <v>2800</v>
      </c>
      <c r="D109" s="469">
        <f t="shared" si="25"/>
        <v>2800</v>
      </c>
      <c r="E109" s="469">
        <f t="shared" si="25"/>
        <v>2800</v>
      </c>
      <c r="F109" s="469">
        <f t="shared" si="25"/>
        <v>2800</v>
      </c>
      <c r="G109" s="469">
        <f t="shared" si="25"/>
        <v>1700</v>
      </c>
      <c r="H109" s="469">
        <f t="shared" si="25"/>
        <v>700</v>
      </c>
      <c r="I109" s="469">
        <f t="shared" si="25"/>
        <v>700</v>
      </c>
      <c r="J109" s="469">
        <f t="shared" si="25"/>
        <v>700</v>
      </c>
      <c r="K109" s="469">
        <f t="shared" si="25"/>
        <v>700</v>
      </c>
      <c r="L109" s="469">
        <f t="shared" si="25"/>
        <v>700</v>
      </c>
      <c r="M109" s="660">
        <f t="shared" si="25"/>
        <v>1700</v>
      </c>
      <c r="N109" s="641">
        <f>SUM(B109:M109)</f>
        <v>21900</v>
      </c>
      <c r="O109" s="440">
        <f>SUM(O92:O108)</f>
        <v>113500</v>
      </c>
      <c r="P109" s="276">
        <v>80414.87</v>
      </c>
      <c r="Q109" s="276">
        <f>N109-P109</f>
        <v>-58514.869999999995</v>
      </c>
      <c r="R109" s="440">
        <f>SUM(R92:R108)</f>
        <v>209100</v>
      </c>
      <c r="S109" s="398">
        <f t="shared" si="15"/>
        <v>-95600</v>
      </c>
      <c r="T109" s="500"/>
    </row>
    <row r="110" spans="1:20" s="267" customFormat="1" ht="13" customHeight="1">
      <c r="A110" s="419"/>
      <c r="B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656"/>
      <c r="N110" s="468"/>
      <c r="O110" s="397"/>
      <c r="P110" s="133"/>
      <c r="Q110" s="133"/>
      <c r="R110" s="397"/>
      <c r="S110" s="398">
        <f t="shared" si="15"/>
        <v>0</v>
      </c>
      <c r="T110" s="500"/>
    </row>
    <row r="111" spans="1:20" s="267" customFormat="1" ht="14" customHeight="1">
      <c r="A111" s="419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656"/>
      <c r="N111" s="468"/>
      <c r="O111" s="397"/>
      <c r="P111" s="133"/>
      <c r="Q111" s="133"/>
      <c r="R111" s="397"/>
      <c r="S111" s="398">
        <f t="shared" si="15"/>
        <v>0</v>
      </c>
      <c r="T111" s="500"/>
    </row>
    <row r="112" spans="1:20" s="267" customFormat="1" ht="13">
      <c r="A112" s="419" t="s">
        <v>195</v>
      </c>
      <c r="B112" s="278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654"/>
      <c r="N112" s="468"/>
      <c r="O112" s="397"/>
      <c r="P112" s="133"/>
      <c r="Q112" s="133"/>
      <c r="R112" s="397"/>
      <c r="S112" s="398">
        <f t="shared" si="15"/>
        <v>0</v>
      </c>
      <c r="T112" s="500"/>
    </row>
    <row r="113" spans="1:20" s="267" customFormat="1" ht="13">
      <c r="A113" s="420" t="s">
        <v>196</v>
      </c>
      <c r="B113" s="278">
        <v>0</v>
      </c>
      <c r="C113" s="271">
        <v>0</v>
      </c>
      <c r="D113" s="271">
        <v>0</v>
      </c>
      <c r="E113" s="271">
        <v>0</v>
      </c>
      <c r="F113" s="271">
        <v>0</v>
      </c>
      <c r="G113" s="271">
        <v>0</v>
      </c>
      <c r="H113" s="271">
        <v>0</v>
      </c>
      <c r="I113" s="271">
        <v>0</v>
      </c>
      <c r="J113" s="271">
        <v>0</v>
      </c>
      <c r="K113" s="271">
        <v>0</v>
      </c>
      <c r="L113" s="271">
        <v>0</v>
      </c>
      <c r="M113" s="654">
        <v>0</v>
      </c>
      <c r="N113" s="468">
        <f>SUM(B113:M113)</f>
        <v>0</v>
      </c>
      <c r="O113" s="397">
        <v>0</v>
      </c>
      <c r="P113" s="271">
        <v>11031.75</v>
      </c>
      <c r="Q113" s="274">
        <f>N113-P113</f>
        <v>-11031.75</v>
      </c>
      <c r="R113" s="397">
        <v>0</v>
      </c>
      <c r="S113" s="398">
        <f t="shared" si="15"/>
        <v>0</v>
      </c>
      <c r="T113" s="500"/>
    </row>
    <row r="114" spans="1:20" s="267" customFormat="1" ht="13">
      <c r="A114" s="419" t="s">
        <v>223</v>
      </c>
      <c r="B114" s="639">
        <f t="shared" ref="B114:M114" si="26">SUM(B113:B113)</f>
        <v>0</v>
      </c>
      <c r="C114" s="469">
        <f t="shared" si="26"/>
        <v>0</v>
      </c>
      <c r="D114" s="469">
        <f t="shared" si="26"/>
        <v>0</v>
      </c>
      <c r="E114" s="469">
        <f t="shared" si="26"/>
        <v>0</v>
      </c>
      <c r="F114" s="469">
        <f t="shared" si="26"/>
        <v>0</v>
      </c>
      <c r="G114" s="469">
        <f t="shared" si="26"/>
        <v>0</v>
      </c>
      <c r="H114" s="469">
        <f t="shared" si="26"/>
        <v>0</v>
      </c>
      <c r="I114" s="469">
        <f t="shared" si="26"/>
        <v>0</v>
      </c>
      <c r="J114" s="469">
        <f t="shared" si="26"/>
        <v>0</v>
      </c>
      <c r="K114" s="469">
        <f t="shared" si="26"/>
        <v>0</v>
      </c>
      <c r="L114" s="469">
        <f t="shared" si="26"/>
        <v>0</v>
      </c>
      <c r="M114" s="660">
        <f t="shared" si="26"/>
        <v>0</v>
      </c>
      <c r="N114" s="467">
        <f>SUM(B114:M114)</f>
        <v>0</v>
      </c>
      <c r="O114" s="399">
        <v>0</v>
      </c>
      <c r="P114" s="469">
        <v>18072.3</v>
      </c>
      <c r="Q114" s="469">
        <f>N114-P114</f>
        <v>-18072.3</v>
      </c>
      <c r="R114" s="408">
        <v>0</v>
      </c>
      <c r="S114" s="398">
        <f t="shared" si="15"/>
        <v>0</v>
      </c>
      <c r="T114" s="500"/>
    </row>
    <row r="115" spans="1:20" s="267" customFormat="1" ht="6" customHeight="1">
      <c r="A115" s="419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656"/>
      <c r="N115" s="468"/>
      <c r="O115" s="397"/>
      <c r="P115" s="133"/>
      <c r="Q115" s="133"/>
      <c r="R115" s="397"/>
      <c r="S115" s="398">
        <f t="shared" si="15"/>
        <v>0</v>
      </c>
      <c r="T115" s="500"/>
    </row>
    <row r="116" spans="1:20" s="267" customFormat="1" ht="14.5" customHeight="1">
      <c r="A116" s="419" t="s">
        <v>198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656"/>
      <c r="N116" s="468"/>
      <c r="O116" s="397"/>
      <c r="P116" s="133"/>
      <c r="Q116" s="133"/>
      <c r="R116" s="397"/>
      <c r="S116" s="398">
        <f t="shared" si="15"/>
        <v>0</v>
      </c>
      <c r="T116" s="500"/>
    </row>
    <row r="117" spans="1:20" s="267" customFormat="1" ht="13">
      <c r="A117" s="420" t="s">
        <v>199</v>
      </c>
      <c r="B117" s="278">
        <v>18000</v>
      </c>
      <c r="C117" s="278">
        <v>18000</v>
      </c>
      <c r="D117" s="278">
        <v>18000</v>
      </c>
      <c r="E117" s="278">
        <v>18000</v>
      </c>
      <c r="F117" s="278">
        <v>18000</v>
      </c>
      <c r="G117" s="278">
        <v>18000</v>
      </c>
      <c r="H117" s="278">
        <v>18000</v>
      </c>
      <c r="I117" s="278">
        <v>18000</v>
      </c>
      <c r="J117" s="278">
        <v>18000</v>
      </c>
      <c r="K117" s="278">
        <v>18000</v>
      </c>
      <c r="L117" s="278">
        <v>18000</v>
      </c>
      <c r="M117" s="654">
        <v>18000</v>
      </c>
      <c r="N117" s="468">
        <f>SUM(B117:M117)</f>
        <v>216000</v>
      </c>
      <c r="O117" s="397">
        <v>216000</v>
      </c>
      <c r="P117" s="271">
        <v>376153.68000000011</v>
      </c>
      <c r="Q117" s="274">
        <f>N117-P117</f>
        <v>-160153.68000000011</v>
      </c>
      <c r="R117" s="397">
        <v>216000</v>
      </c>
      <c r="S117" s="398">
        <f t="shared" si="15"/>
        <v>0</v>
      </c>
      <c r="T117" s="500"/>
    </row>
    <row r="118" spans="1:20" s="267" customFormat="1" ht="13">
      <c r="A118" s="420" t="s">
        <v>200</v>
      </c>
      <c r="B118" s="278">
        <v>0</v>
      </c>
      <c r="C118" s="278">
        <v>0</v>
      </c>
      <c r="D118" s="278">
        <v>0</v>
      </c>
      <c r="E118" s="278">
        <v>0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  <c r="L118" s="278">
        <v>0</v>
      </c>
      <c r="M118" s="654">
        <v>0</v>
      </c>
      <c r="N118" s="468">
        <f>SUM(B118:M118)</f>
        <v>0</v>
      </c>
      <c r="O118" s="397"/>
      <c r="P118" s="271">
        <v>46507.833333333336</v>
      </c>
      <c r="Q118" s="274">
        <f>N118-P118</f>
        <v>-46507.833333333336</v>
      </c>
      <c r="R118" s="397"/>
      <c r="S118" s="398">
        <f t="shared" si="15"/>
        <v>0</v>
      </c>
      <c r="T118" s="507"/>
    </row>
    <row r="119" spans="1:20" s="527" customFormat="1" ht="26">
      <c r="A119" s="519" t="s">
        <v>201</v>
      </c>
      <c r="B119" s="520">
        <v>10000</v>
      </c>
      <c r="C119" s="520">
        <v>0</v>
      </c>
      <c r="D119" s="520">
        <v>0</v>
      </c>
      <c r="E119" s="520">
        <v>0</v>
      </c>
      <c r="F119" s="520">
        <v>0</v>
      </c>
      <c r="G119" s="520">
        <v>0</v>
      </c>
      <c r="H119" s="520">
        <v>0</v>
      </c>
      <c r="I119" s="520">
        <v>0</v>
      </c>
      <c r="J119" s="520">
        <v>0</v>
      </c>
      <c r="K119" s="520">
        <v>0</v>
      </c>
      <c r="L119" s="520">
        <v>0</v>
      </c>
      <c r="M119" s="658">
        <v>0</v>
      </c>
      <c r="N119" s="673">
        <f>SUM(B119:M119)</f>
        <v>10000</v>
      </c>
      <c r="O119" s="542">
        <v>135000</v>
      </c>
      <c r="P119" s="521"/>
      <c r="Q119" s="543"/>
      <c r="R119" s="542">
        <v>150000</v>
      </c>
      <c r="S119" s="525">
        <f t="shared" si="15"/>
        <v>-15000</v>
      </c>
      <c r="T119" s="526" t="s">
        <v>256</v>
      </c>
    </row>
    <row r="120" spans="1:20" s="527" customFormat="1" ht="39">
      <c r="A120" s="519" t="s">
        <v>202</v>
      </c>
      <c r="B120" s="520">
        <v>6500</v>
      </c>
      <c r="C120" s="520">
        <v>0</v>
      </c>
      <c r="D120" s="520">
        <v>0</v>
      </c>
      <c r="E120" s="520">
        <v>0</v>
      </c>
      <c r="F120" s="520">
        <v>0</v>
      </c>
      <c r="G120" s="520">
        <v>0</v>
      </c>
      <c r="H120" s="520">
        <v>0</v>
      </c>
      <c r="I120" s="520">
        <v>0</v>
      </c>
      <c r="J120" s="520">
        <v>0</v>
      </c>
      <c r="K120" s="520">
        <v>0</v>
      </c>
      <c r="L120" s="520">
        <v>0</v>
      </c>
      <c r="M120" s="658">
        <v>0</v>
      </c>
      <c r="N120" s="673">
        <f t="shared" ref="N120:N129" si="27">SUM(B120:M120)</f>
        <v>6500</v>
      </c>
      <c r="O120" s="542">
        <v>60000</v>
      </c>
      <c r="P120" s="521"/>
      <c r="Q120" s="543"/>
      <c r="R120" s="542">
        <v>84000</v>
      </c>
      <c r="S120" s="525">
        <f t="shared" si="15"/>
        <v>-24000</v>
      </c>
      <c r="T120" s="526" t="s">
        <v>263</v>
      </c>
    </row>
    <row r="121" spans="1:20" s="527" customFormat="1" ht="13">
      <c r="A121" s="519" t="s">
        <v>203</v>
      </c>
      <c r="B121" s="520">
        <v>1700</v>
      </c>
      <c r="C121" s="520">
        <v>1700</v>
      </c>
      <c r="D121" s="520">
        <v>1700</v>
      </c>
      <c r="E121" s="520">
        <v>1700</v>
      </c>
      <c r="F121" s="520">
        <v>1700</v>
      </c>
      <c r="G121" s="520">
        <v>1700</v>
      </c>
      <c r="H121" s="520">
        <v>1700</v>
      </c>
      <c r="I121" s="520">
        <v>1700</v>
      </c>
      <c r="J121" s="520">
        <v>1700</v>
      </c>
      <c r="K121" s="520">
        <v>1700</v>
      </c>
      <c r="L121" s="520">
        <v>1700</v>
      </c>
      <c r="M121" s="658">
        <v>1700</v>
      </c>
      <c r="N121" s="673">
        <f>SUM(B121:M121)</f>
        <v>20400</v>
      </c>
      <c r="O121" s="542">
        <v>20400</v>
      </c>
      <c r="P121" s="521"/>
      <c r="Q121" s="543"/>
      <c r="R121" s="542">
        <v>20400</v>
      </c>
      <c r="S121" s="525">
        <f t="shared" si="15"/>
        <v>0</v>
      </c>
      <c r="T121" s="526"/>
    </row>
    <row r="122" spans="1:20" s="527" customFormat="1" ht="39">
      <c r="A122" s="519" t="s">
        <v>204</v>
      </c>
      <c r="B122" s="520">
        <v>2000</v>
      </c>
      <c r="C122" s="520">
        <v>2000</v>
      </c>
      <c r="D122" s="520">
        <v>2000</v>
      </c>
      <c r="E122" s="520">
        <v>2000</v>
      </c>
      <c r="F122" s="520">
        <v>2000</v>
      </c>
      <c r="G122" s="520">
        <v>2000</v>
      </c>
      <c r="H122" s="520">
        <v>0</v>
      </c>
      <c r="I122" s="520">
        <v>0</v>
      </c>
      <c r="J122" s="520">
        <v>0</v>
      </c>
      <c r="K122" s="520">
        <v>0</v>
      </c>
      <c r="L122" s="520">
        <v>0</v>
      </c>
      <c r="M122" s="658">
        <v>0</v>
      </c>
      <c r="N122" s="673">
        <f t="shared" si="27"/>
        <v>12000</v>
      </c>
      <c r="O122" s="542">
        <v>30000</v>
      </c>
      <c r="P122" s="521"/>
      <c r="Q122" s="543"/>
      <c r="R122" s="542">
        <v>48000</v>
      </c>
      <c r="S122" s="525">
        <f t="shared" si="15"/>
        <v>-18000</v>
      </c>
      <c r="T122" s="526" t="s">
        <v>264</v>
      </c>
    </row>
    <row r="123" spans="1:20" s="527" customFormat="1" ht="13">
      <c r="A123" s="519" t="s">
        <v>205</v>
      </c>
      <c r="B123" s="520">
        <v>500</v>
      </c>
      <c r="C123" s="520">
        <v>500</v>
      </c>
      <c r="D123" s="520">
        <v>500</v>
      </c>
      <c r="E123" s="520">
        <v>500</v>
      </c>
      <c r="F123" s="520">
        <v>500</v>
      </c>
      <c r="G123" s="520">
        <v>500</v>
      </c>
      <c r="H123" s="520">
        <v>500</v>
      </c>
      <c r="I123" s="520">
        <v>500</v>
      </c>
      <c r="J123" s="520">
        <v>500</v>
      </c>
      <c r="K123" s="520">
        <v>500</v>
      </c>
      <c r="L123" s="520">
        <v>500</v>
      </c>
      <c r="M123" s="658">
        <v>500</v>
      </c>
      <c r="N123" s="673">
        <f t="shared" si="27"/>
        <v>6000</v>
      </c>
      <c r="O123" s="542">
        <v>6000</v>
      </c>
      <c r="P123" s="521"/>
      <c r="Q123" s="543"/>
      <c r="R123" s="542">
        <v>6000</v>
      </c>
      <c r="S123" s="525">
        <f t="shared" si="15"/>
        <v>0</v>
      </c>
      <c r="T123" s="526"/>
    </row>
    <row r="124" spans="1:20" s="527" customFormat="1" ht="13">
      <c r="A124" s="519" t="s">
        <v>257</v>
      </c>
      <c r="B124" s="520">
        <v>0</v>
      </c>
      <c r="C124" s="520">
        <v>0</v>
      </c>
      <c r="D124" s="520">
        <v>0</v>
      </c>
      <c r="E124" s="520">
        <v>0</v>
      </c>
      <c r="F124" s="520">
        <v>0</v>
      </c>
      <c r="G124" s="520">
        <v>0</v>
      </c>
      <c r="H124" s="520">
        <v>0</v>
      </c>
      <c r="I124" s="520">
        <v>0</v>
      </c>
      <c r="J124" s="520">
        <v>0</v>
      </c>
      <c r="K124" s="520">
        <v>0</v>
      </c>
      <c r="L124" s="520">
        <v>0</v>
      </c>
      <c r="M124" s="658">
        <v>0</v>
      </c>
      <c r="N124" s="673">
        <f t="shared" si="27"/>
        <v>0</v>
      </c>
      <c r="O124" s="542">
        <v>24000</v>
      </c>
      <c r="P124" s="521"/>
      <c r="Q124" s="543"/>
      <c r="R124" s="542">
        <v>24000</v>
      </c>
      <c r="S124" s="525">
        <f t="shared" si="15"/>
        <v>0</v>
      </c>
      <c r="T124" s="526"/>
    </row>
    <row r="125" spans="1:20" s="527" customFormat="1" ht="13">
      <c r="A125" s="519" t="s">
        <v>207</v>
      </c>
      <c r="B125" s="520">
        <v>2000</v>
      </c>
      <c r="C125" s="520">
        <v>2000</v>
      </c>
      <c r="D125" s="520">
        <v>2000</v>
      </c>
      <c r="E125" s="520">
        <v>2000</v>
      </c>
      <c r="F125" s="520">
        <v>2000</v>
      </c>
      <c r="G125" s="520">
        <v>2000</v>
      </c>
      <c r="H125" s="520">
        <v>2000</v>
      </c>
      <c r="I125" s="520">
        <v>2000</v>
      </c>
      <c r="J125" s="520">
        <v>2000</v>
      </c>
      <c r="K125" s="520">
        <v>2000</v>
      </c>
      <c r="L125" s="520">
        <v>2000</v>
      </c>
      <c r="M125" s="658">
        <v>2000</v>
      </c>
      <c r="N125" s="673">
        <f>SUM(B125:M125)</f>
        <v>24000</v>
      </c>
      <c r="O125" s="542">
        <v>24000</v>
      </c>
      <c r="P125" s="521"/>
      <c r="Q125" s="543"/>
      <c r="R125" s="542">
        <v>24000</v>
      </c>
      <c r="S125" s="525">
        <f t="shared" si="15"/>
        <v>0</v>
      </c>
      <c r="T125" s="526"/>
    </row>
    <row r="126" spans="1:20" s="527" customFormat="1" ht="26">
      <c r="A126" s="519" t="s">
        <v>258</v>
      </c>
      <c r="B126" s="520">
        <v>1000</v>
      </c>
      <c r="C126" s="520">
        <v>1000</v>
      </c>
      <c r="D126" s="520">
        <v>1000</v>
      </c>
      <c r="E126" s="520">
        <v>1000</v>
      </c>
      <c r="F126" s="520">
        <v>1000</v>
      </c>
      <c r="G126" s="520">
        <v>1000</v>
      </c>
      <c r="H126" s="520">
        <v>2000</v>
      </c>
      <c r="I126" s="520">
        <v>2000</v>
      </c>
      <c r="J126" s="520">
        <v>2000</v>
      </c>
      <c r="K126" s="520">
        <v>2000</v>
      </c>
      <c r="L126" s="520">
        <v>2000</v>
      </c>
      <c r="M126" s="658">
        <v>2000</v>
      </c>
      <c r="N126" s="673">
        <f>SUM(B126:M126)</f>
        <v>18000</v>
      </c>
      <c r="O126" s="542">
        <v>12000</v>
      </c>
      <c r="P126" s="521"/>
      <c r="Q126" s="543"/>
      <c r="R126" s="542">
        <v>48000</v>
      </c>
      <c r="S126" s="525">
        <f t="shared" si="15"/>
        <v>-36000</v>
      </c>
      <c r="T126" s="526" t="s">
        <v>265</v>
      </c>
    </row>
    <row r="127" spans="1:20" s="527" customFormat="1" ht="26">
      <c r="A127" s="519" t="s">
        <v>209</v>
      </c>
      <c r="B127" s="520">
        <v>0</v>
      </c>
      <c r="C127" s="520">
        <v>0</v>
      </c>
      <c r="D127" s="520">
        <v>0</v>
      </c>
      <c r="E127" s="520">
        <v>0</v>
      </c>
      <c r="F127" s="520">
        <v>0</v>
      </c>
      <c r="G127" s="520">
        <v>0</v>
      </c>
      <c r="H127" s="520">
        <v>0</v>
      </c>
      <c r="I127" s="520">
        <v>0</v>
      </c>
      <c r="J127" s="520">
        <v>0</v>
      </c>
      <c r="K127" s="520">
        <v>0</v>
      </c>
      <c r="L127" s="520">
        <v>0</v>
      </c>
      <c r="M127" s="658">
        <v>0</v>
      </c>
      <c r="N127" s="673">
        <f>SUM(B127:M127)</f>
        <v>0</v>
      </c>
      <c r="O127" s="542">
        <v>18000</v>
      </c>
      <c r="P127" s="521"/>
      <c r="Q127" s="543"/>
      <c r="R127" s="542">
        <v>36000</v>
      </c>
      <c r="S127" s="525">
        <f t="shared" si="15"/>
        <v>-18000</v>
      </c>
      <c r="T127" s="526" t="s">
        <v>259</v>
      </c>
    </row>
    <row r="128" spans="1:20" s="267" customFormat="1" ht="13">
      <c r="A128" s="420" t="s">
        <v>210</v>
      </c>
      <c r="B128" s="278">
        <v>0</v>
      </c>
      <c r="C128" s="271">
        <v>0</v>
      </c>
      <c r="D128" s="271">
        <v>0</v>
      </c>
      <c r="E128" s="271">
        <v>0</v>
      </c>
      <c r="F128" s="271">
        <v>0</v>
      </c>
      <c r="G128" s="271">
        <v>0</v>
      </c>
      <c r="H128" s="271">
        <v>0</v>
      </c>
      <c r="I128" s="271">
        <v>0</v>
      </c>
      <c r="J128" s="271">
        <f>'Payroll Worksheet'!AH23</f>
        <v>0</v>
      </c>
      <c r="K128" s="271">
        <f>'Payroll Worksheet'!AI23</f>
        <v>0</v>
      </c>
      <c r="L128" s="271">
        <f>'Payroll Worksheet'!AJ23</f>
        <v>0</v>
      </c>
      <c r="M128" s="654">
        <f>'Payroll Worksheet'!AK23</f>
        <v>0</v>
      </c>
      <c r="N128" s="467">
        <f t="shared" si="27"/>
        <v>0</v>
      </c>
      <c r="O128" s="406">
        <v>0</v>
      </c>
      <c r="P128" s="271">
        <v>891.46</v>
      </c>
      <c r="Q128" s="274">
        <f>N128-P128</f>
        <v>-891.46</v>
      </c>
      <c r="R128" s="406">
        <v>0</v>
      </c>
      <c r="S128" s="398">
        <f t="shared" si="15"/>
        <v>0</v>
      </c>
      <c r="T128" s="500"/>
    </row>
    <row r="129" spans="1:41" s="267" customFormat="1" ht="13">
      <c r="A129" s="420" t="s">
        <v>211</v>
      </c>
      <c r="B129" s="278">
        <v>0</v>
      </c>
      <c r="C129" s="271">
        <v>0</v>
      </c>
      <c r="D129" s="271">
        <v>0</v>
      </c>
      <c r="E129" s="271">
        <v>0</v>
      </c>
      <c r="F129" s="271">
        <v>0</v>
      </c>
      <c r="G129" s="271" t="s">
        <v>260</v>
      </c>
      <c r="H129" s="271">
        <v>0</v>
      </c>
      <c r="I129" s="271">
        <v>0</v>
      </c>
      <c r="J129" s="271">
        <f>'Payroll Worksheet'!AH21</f>
        <v>0</v>
      </c>
      <c r="K129" s="271">
        <f>'Payroll Worksheet'!AI21</f>
        <v>0</v>
      </c>
      <c r="L129" s="271">
        <f>'Payroll Worksheet'!AJ21</f>
        <v>0</v>
      </c>
      <c r="M129" s="654">
        <f>'Payroll Worksheet'!AK21</f>
        <v>0</v>
      </c>
      <c r="N129" s="467">
        <f t="shared" si="27"/>
        <v>0</v>
      </c>
      <c r="O129" s="406">
        <v>0</v>
      </c>
      <c r="P129" s="271">
        <v>11652.939999999999</v>
      </c>
      <c r="Q129" s="274">
        <f>N129-P129</f>
        <v>-11652.939999999999</v>
      </c>
      <c r="R129" s="406">
        <v>0</v>
      </c>
      <c r="S129" s="398">
        <f t="shared" si="15"/>
        <v>0</v>
      </c>
      <c r="T129" s="500"/>
    </row>
    <row r="130" spans="1:41" s="267" customFormat="1" ht="13">
      <c r="A130" s="420" t="s">
        <v>213</v>
      </c>
      <c r="B130" s="278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654"/>
      <c r="N130" s="467"/>
      <c r="O130" s="406"/>
      <c r="P130" s="271"/>
      <c r="Q130" s="274"/>
      <c r="R130" s="406"/>
      <c r="S130" s="398">
        <f t="shared" si="15"/>
        <v>0</v>
      </c>
      <c r="T130" s="500"/>
    </row>
    <row r="131" spans="1:41" s="267" customFormat="1" ht="13">
      <c r="A131" s="419" t="s">
        <v>214</v>
      </c>
      <c r="B131" s="469">
        <f t="shared" ref="B131:M131" si="28">SUM(B117:B130)</f>
        <v>41700</v>
      </c>
      <c r="C131" s="469">
        <f t="shared" si="28"/>
        <v>25200</v>
      </c>
      <c r="D131" s="469">
        <f t="shared" si="28"/>
        <v>25200</v>
      </c>
      <c r="E131" s="469">
        <f t="shared" si="28"/>
        <v>25200</v>
      </c>
      <c r="F131" s="469">
        <f t="shared" si="28"/>
        <v>25200</v>
      </c>
      <c r="G131" s="469">
        <f t="shared" si="28"/>
        <v>25200</v>
      </c>
      <c r="H131" s="469">
        <f t="shared" si="28"/>
        <v>24200</v>
      </c>
      <c r="I131" s="469">
        <f t="shared" si="28"/>
        <v>24200</v>
      </c>
      <c r="J131" s="469">
        <f t="shared" si="28"/>
        <v>24200</v>
      </c>
      <c r="K131" s="469">
        <f t="shared" si="28"/>
        <v>24200</v>
      </c>
      <c r="L131" s="469">
        <f t="shared" si="28"/>
        <v>24200</v>
      </c>
      <c r="M131" s="660">
        <f t="shared" si="28"/>
        <v>24200</v>
      </c>
      <c r="N131" s="467">
        <f>SUM(B131:M131)</f>
        <v>312900</v>
      </c>
      <c r="O131" s="406">
        <f>SUM(O117:O130)</f>
        <v>545400</v>
      </c>
      <c r="P131" s="276">
        <v>435205.91333333345</v>
      </c>
      <c r="Q131" s="276">
        <f>N131-P131</f>
        <v>-122305.91333333345</v>
      </c>
      <c r="R131" s="401">
        <f>SUM(R117:R130)</f>
        <v>656400</v>
      </c>
      <c r="S131" s="398">
        <f t="shared" si="15"/>
        <v>-111000</v>
      </c>
      <c r="T131" s="507"/>
    </row>
    <row r="132" spans="1:41" s="267" customFormat="1" ht="6" customHeight="1" thickBot="1">
      <c r="A132" s="419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56"/>
      <c r="N132" s="468"/>
      <c r="O132" s="397"/>
      <c r="P132" s="133"/>
      <c r="Q132" s="133"/>
      <c r="R132" s="397"/>
      <c r="S132" s="398">
        <f t="shared" si="15"/>
        <v>0</v>
      </c>
      <c r="T132" s="500"/>
    </row>
    <row r="133" spans="1:41" s="458" customFormat="1" ht="14" thickTop="1">
      <c r="A133" s="445" t="s">
        <v>107</v>
      </c>
      <c r="B133" s="453">
        <f t="shared" ref="B133:M133" si="29">B60+B76+B86+B109+B114+B131</f>
        <v>65460</v>
      </c>
      <c r="C133" s="446">
        <f t="shared" si="29"/>
        <v>39460</v>
      </c>
      <c r="D133" s="446">
        <f t="shared" si="29"/>
        <v>50210</v>
      </c>
      <c r="E133" s="446">
        <f t="shared" si="29"/>
        <v>47960</v>
      </c>
      <c r="F133" s="446">
        <f t="shared" si="29"/>
        <v>42960</v>
      </c>
      <c r="G133" s="446">
        <f t="shared" si="29"/>
        <v>35110</v>
      </c>
      <c r="H133" s="446">
        <f t="shared" si="29"/>
        <v>77260</v>
      </c>
      <c r="I133" s="446">
        <f t="shared" si="29"/>
        <v>51160</v>
      </c>
      <c r="J133" s="446">
        <f t="shared" si="29"/>
        <v>87110</v>
      </c>
      <c r="K133" s="446">
        <f t="shared" si="29"/>
        <v>88660</v>
      </c>
      <c r="L133" s="446">
        <f t="shared" si="29"/>
        <v>41860</v>
      </c>
      <c r="M133" s="659">
        <f t="shared" si="29"/>
        <v>49110</v>
      </c>
      <c r="N133" s="647">
        <f>SUM(B133:M133)</f>
        <v>676320</v>
      </c>
      <c r="O133" s="455">
        <f>O60+O76+O86+O109+O114+O131</f>
        <v>1130600</v>
      </c>
      <c r="P133" s="453">
        <v>791196.94333333336</v>
      </c>
      <c r="Q133" s="456">
        <f>N133-P133</f>
        <v>-114876.94333333336</v>
      </c>
      <c r="R133" s="455">
        <f>R60+R76+R86+R109+R114+R131</f>
        <v>1425700</v>
      </c>
      <c r="S133" s="398">
        <f t="shared" si="15"/>
        <v>-295100</v>
      </c>
      <c r="T133" s="508"/>
    </row>
    <row r="134" spans="1:41" s="368" customFormat="1" ht="13" thickBot="1">
      <c r="A134" s="419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662"/>
      <c r="N134" s="468"/>
      <c r="O134" s="397"/>
      <c r="P134" s="285"/>
      <c r="Q134" s="285"/>
      <c r="R134" s="397"/>
      <c r="S134" s="398">
        <f t="shared" ref="S134:S135" si="30">O134-R134</f>
        <v>0</v>
      </c>
      <c r="T134" s="502"/>
    </row>
    <row r="135" spans="1:41" s="466" customFormat="1" ht="14" thickBot="1">
      <c r="A135" s="459" t="s">
        <v>108</v>
      </c>
      <c r="B135" s="460">
        <f t="shared" ref="B135:O135" si="31">B48-B133</f>
        <v>-37070</v>
      </c>
      <c r="C135" s="460">
        <f t="shared" si="31"/>
        <v>-18780</v>
      </c>
      <c r="D135" s="460">
        <f t="shared" si="31"/>
        <v>-20890</v>
      </c>
      <c r="E135" s="460">
        <f t="shared" si="31"/>
        <v>-34962</v>
      </c>
      <c r="F135" s="460">
        <f t="shared" si="31"/>
        <v>-29088.400000000001</v>
      </c>
      <c r="G135" s="460">
        <f t="shared" si="31"/>
        <v>-7960.0800000000017</v>
      </c>
      <c r="H135" s="460">
        <f t="shared" si="31"/>
        <v>-37766.095999999998</v>
      </c>
      <c r="I135" s="460">
        <f t="shared" si="31"/>
        <v>7806.6848000000027</v>
      </c>
      <c r="J135" s="460">
        <f t="shared" si="31"/>
        <v>-40975.978240000004</v>
      </c>
      <c r="K135" s="460">
        <f t="shared" si="31"/>
        <v>37354.826111999995</v>
      </c>
      <c r="L135" s="460">
        <f t="shared" si="31"/>
        <v>-8128.2086656000029</v>
      </c>
      <c r="M135" s="663">
        <f t="shared" si="31"/>
        <v>15602.149601279998</v>
      </c>
      <c r="N135" s="648">
        <f t="shared" si="31"/>
        <v>-174857.10239232</v>
      </c>
      <c r="O135" s="463">
        <f t="shared" si="31"/>
        <v>-99400</v>
      </c>
      <c r="P135" s="460">
        <v>388579.43666666653</v>
      </c>
      <c r="Q135" s="464"/>
      <c r="R135" s="463">
        <f>R48-R133</f>
        <v>1046400</v>
      </c>
      <c r="S135" s="398">
        <f t="shared" si="30"/>
        <v>-1145800</v>
      </c>
      <c r="T135" s="509"/>
    </row>
    <row r="136" spans="1:41" s="267" customFormat="1" ht="12">
      <c r="A136" s="420"/>
      <c r="B136" s="413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653"/>
      <c r="N136" s="468"/>
      <c r="O136" s="397"/>
      <c r="P136" s="133"/>
      <c r="Q136" s="133"/>
      <c r="R136" s="133"/>
      <c r="S136" s="394"/>
      <c r="T136" s="500"/>
    </row>
    <row r="137" spans="1:41" s="285" customFormat="1" ht="12">
      <c r="A137" s="427" t="s">
        <v>215</v>
      </c>
      <c r="B137" s="287">
        <v>172646</v>
      </c>
      <c r="C137" s="275">
        <f t="shared" ref="C137:M137" si="32">B139</f>
        <v>135576</v>
      </c>
      <c r="D137" s="371">
        <f t="shared" si="32"/>
        <v>116796</v>
      </c>
      <c r="E137" s="275">
        <f t="shared" si="32"/>
        <v>95906</v>
      </c>
      <c r="F137" s="275">
        <f t="shared" si="32"/>
        <v>60944</v>
      </c>
      <c r="G137" s="275">
        <f t="shared" si="32"/>
        <v>31855.599999999999</v>
      </c>
      <c r="H137" s="275">
        <f t="shared" si="32"/>
        <v>23895.519999999997</v>
      </c>
      <c r="I137" s="275">
        <f t="shared" si="32"/>
        <v>-13870.576000000001</v>
      </c>
      <c r="J137" s="275">
        <f t="shared" si="32"/>
        <v>-6063.8911999999982</v>
      </c>
      <c r="K137" s="275">
        <f t="shared" si="32"/>
        <v>-47039.869440000002</v>
      </c>
      <c r="L137" s="275">
        <f t="shared" si="32"/>
        <v>-9685.043328000007</v>
      </c>
      <c r="M137" s="664">
        <f t="shared" si="32"/>
        <v>-17813.25199360001</v>
      </c>
      <c r="N137" s="468"/>
      <c r="O137" s="397"/>
      <c r="P137" s="275" t="e">
        <f>P124+#REF!+P70</f>
        <v>#REF!</v>
      </c>
      <c r="Q137" s="275"/>
      <c r="R137" s="275"/>
      <c r="S137" s="394"/>
      <c r="T137" s="510"/>
    </row>
    <row r="138" spans="1:41" s="267" customFormat="1" ht="12">
      <c r="A138" s="421"/>
      <c r="B138" s="414"/>
      <c r="C138" s="273"/>
      <c r="D138" s="371"/>
      <c r="E138" s="273"/>
      <c r="F138" s="273"/>
      <c r="G138" s="273"/>
      <c r="H138" s="273"/>
      <c r="I138" s="273"/>
      <c r="J138" s="273"/>
      <c r="K138" s="273"/>
      <c r="L138" s="273"/>
      <c r="M138" s="657"/>
      <c r="N138" s="468"/>
      <c r="O138" s="397"/>
      <c r="P138" s="133"/>
      <c r="Q138" s="133"/>
      <c r="R138" s="133"/>
      <c r="S138" s="394"/>
      <c r="T138" s="500"/>
    </row>
    <row r="139" spans="1:41" s="376" customFormat="1" ht="12">
      <c r="A139" s="428" t="s">
        <v>216</v>
      </c>
      <c r="B139" s="415">
        <f>B135+B137</f>
        <v>135576</v>
      </c>
      <c r="C139" s="374">
        <f t="shared" ref="C139:M139" si="33">C135+C137</f>
        <v>116796</v>
      </c>
      <c r="D139" s="375">
        <f t="shared" si="33"/>
        <v>95906</v>
      </c>
      <c r="E139" s="374">
        <f t="shared" si="33"/>
        <v>60944</v>
      </c>
      <c r="F139" s="374">
        <f t="shared" si="33"/>
        <v>31855.599999999999</v>
      </c>
      <c r="G139" s="374">
        <f t="shared" si="33"/>
        <v>23895.519999999997</v>
      </c>
      <c r="H139" s="374">
        <f t="shared" si="33"/>
        <v>-13870.576000000001</v>
      </c>
      <c r="I139" s="374">
        <f t="shared" si="33"/>
        <v>-6063.8911999999982</v>
      </c>
      <c r="J139" s="374">
        <f t="shared" si="33"/>
        <v>-47039.869440000002</v>
      </c>
      <c r="K139" s="374">
        <f t="shared" si="33"/>
        <v>-9685.043328000007</v>
      </c>
      <c r="L139" s="374">
        <f t="shared" si="33"/>
        <v>-17813.25199360001</v>
      </c>
      <c r="M139" s="665">
        <f t="shared" si="33"/>
        <v>-2211.1023923200119</v>
      </c>
      <c r="N139" s="468"/>
      <c r="O139" s="397"/>
      <c r="P139" s="373"/>
      <c r="Q139" s="373"/>
      <c r="R139" s="373"/>
      <c r="S139" s="394"/>
      <c r="T139" s="502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</row>
    <row r="140" spans="1:41" s="376" customFormat="1" ht="12">
      <c r="A140" s="427"/>
      <c r="B140" s="287"/>
      <c r="C140" s="275"/>
      <c r="D140" s="371"/>
      <c r="E140" s="275"/>
      <c r="F140" s="275"/>
      <c r="G140" s="275"/>
      <c r="H140" s="275"/>
      <c r="I140" s="275"/>
      <c r="J140" s="275"/>
      <c r="K140" s="275"/>
      <c r="L140" s="275"/>
      <c r="M140" s="664"/>
      <c r="N140" s="468"/>
      <c r="O140" s="397"/>
      <c r="P140" s="373"/>
      <c r="Q140" s="373"/>
      <c r="R140" s="373"/>
      <c r="S140" s="394"/>
      <c r="T140" s="502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</row>
    <row r="141" spans="1:41" s="267" customFormat="1" ht="26">
      <c r="A141" s="419" t="s">
        <v>217</v>
      </c>
      <c r="B141" s="416"/>
      <c r="C141" s="269"/>
      <c r="D141" s="371"/>
      <c r="E141" s="269"/>
      <c r="F141" s="269"/>
      <c r="G141" s="269"/>
      <c r="H141" s="269"/>
      <c r="I141" s="269"/>
      <c r="J141" s="269"/>
      <c r="K141" s="269"/>
      <c r="L141" s="269"/>
      <c r="M141" s="666"/>
      <c r="N141" s="649"/>
      <c r="O141" s="411"/>
      <c r="P141" s="133"/>
      <c r="Q141" s="133"/>
      <c r="R141" s="133"/>
      <c r="S141" s="394"/>
      <c r="T141" s="500"/>
    </row>
    <row r="142" spans="1:41">
      <c r="A142" s="417"/>
      <c r="B142" s="294"/>
      <c r="C142" s="294"/>
      <c r="D142" s="371"/>
      <c r="E142" s="301"/>
      <c r="F142" s="301"/>
      <c r="G142" s="301"/>
      <c r="H142" s="301"/>
      <c r="I142" s="301"/>
      <c r="J142" s="301"/>
      <c r="K142" s="301"/>
      <c r="L142" s="301"/>
      <c r="M142" s="667"/>
      <c r="N142" s="412"/>
      <c r="T142" s="501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</row>
    <row r="143" spans="1:41" ht="27">
      <c r="A143" s="419" t="s">
        <v>261</v>
      </c>
      <c r="B143" s="685"/>
      <c r="C143" s="685"/>
      <c r="D143" s="294"/>
      <c r="E143" s="294"/>
      <c r="F143" s="294"/>
      <c r="G143" s="294"/>
      <c r="H143" s="294"/>
      <c r="I143" s="294"/>
      <c r="J143" s="294"/>
      <c r="K143" s="294"/>
      <c r="L143" s="294"/>
      <c r="M143" s="650"/>
      <c r="N143" s="686"/>
      <c r="T143" s="501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</row>
    <row r="144" spans="1:41">
      <c r="A144" s="687">
        <v>100000</v>
      </c>
      <c r="B144" s="133"/>
      <c r="C144" s="133"/>
      <c r="D144" s="688"/>
      <c r="E144" s="688">
        <f>IF(E139,(100000-E139)/95)</f>
        <v>411.11578947368423</v>
      </c>
      <c r="F144" s="688">
        <f>-F135/95</f>
        <v>306.19368421052633</v>
      </c>
      <c r="G144" s="688">
        <f t="shared" ref="G144:L144" si="34">-G135/95</f>
        <v>83.790315789473709</v>
      </c>
      <c r="H144" s="688">
        <f t="shared" si="34"/>
        <v>397.53785263157891</v>
      </c>
      <c r="I144" s="688"/>
      <c r="J144" s="688">
        <f t="shared" si="34"/>
        <v>431.32608673684217</v>
      </c>
      <c r="K144" s="688"/>
      <c r="L144" s="688">
        <f t="shared" si="34"/>
        <v>85.560091216842139</v>
      </c>
      <c r="M144" s="650"/>
      <c r="N144" s="686">
        <f t="shared" ref="N144:N145" si="35">SUM(B144:M144)</f>
        <v>1715.5238200589476</v>
      </c>
      <c r="T144" s="501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</row>
    <row r="145" spans="1:14">
      <c r="A145" s="687">
        <v>200000</v>
      </c>
      <c r="B145" s="688">
        <f>(200000-B137-B135)/95</f>
        <v>678.14736842105265</v>
      </c>
      <c r="C145" s="688">
        <f>-C135/95</f>
        <v>197.68421052631578</v>
      </c>
      <c r="D145" s="688">
        <f t="shared" ref="D145:L145" si="36">-D135/95</f>
        <v>219.89473684210526</v>
      </c>
      <c r="E145" s="688">
        <f t="shared" si="36"/>
        <v>368.02105263157893</v>
      </c>
      <c r="F145" s="688">
        <f t="shared" si="36"/>
        <v>306.19368421052633</v>
      </c>
      <c r="G145" s="688">
        <f t="shared" si="36"/>
        <v>83.790315789473709</v>
      </c>
      <c r="H145" s="688">
        <f t="shared" si="36"/>
        <v>397.53785263157891</v>
      </c>
      <c r="I145" s="688"/>
      <c r="J145" s="688">
        <f t="shared" si="36"/>
        <v>431.32608673684217</v>
      </c>
      <c r="K145" s="688"/>
      <c r="L145" s="688">
        <f t="shared" si="36"/>
        <v>85.560091216842139</v>
      </c>
      <c r="M145" s="689"/>
      <c r="N145" s="686">
        <f t="shared" si="35"/>
        <v>2768.1553990063153</v>
      </c>
    </row>
    <row r="147" spans="1:14" ht="27">
      <c r="A147" s="419" t="s">
        <v>266</v>
      </c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650"/>
    </row>
  </sheetData>
  <pageMargins left="0.75" right="0.75" top="1" bottom="1" header="0.5" footer="0.5"/>
  <pageSetup paperSize="3" pageOrder="overThenDown" orientation="landscape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No add staff No NJ</vt:lpstr>
      <vt:lpstr>Target</vt:lpstr>
      <vt:lpstr>100% Target</vt:lpstr>
      <vt:lpstr>75% Target</vt:lpstr>
      <vt:lpstr>50% Target</vt:lpstr>
      <vt:lpstr>Full Staff Budget</vt:lpstr>
      <vt:lpstr>2022 Full Staff</vt:lpstr>
      <vt:lpstr>Assumptions</vt:lpstr>
      <vt:lpstr> Lean Staff Budget</vt:lpstr>
      <vt:lpstr>Lean Assumptions</vt:lpstr>
      <vt:lpstr>2021 Forecast - Revised</vt:lpstr>
      <vt:lpstr>Annual Forecast</vt:lpstr>
      <vt:lpstr>Annual Budget)</vt:lpstr>
      <vt:lpstr>2021 Forecast - HB no Summits b</vt:lpstr>
      <vt:lpstr>2021 Forecast - No HB or Summit</vt:lpstr>
      <vt:lpstr>Payroll Worksheet</vt:lpstr>
      <vt:lpstr>StartNew Access &amp; Advanced</vt:lpstr>
      <vt:lpstr>StartNew Virtual</vt:lpstr>
      <vt:lpstr>Dream Total</vt:lpstr>
      <vt:lpstr>Partner churches</vt:lpstr>
      <vt:lpstr>District President Retreat</vt:lpstr>
      <vt:lpstr>Staff Roles</vt:lpstr>
      <vt:lpstr>Compared Years</vt:lpstr>
      <vt:lpstr>StartNew Revenue &amp; Costs</vt:lpstr>
      <vt:lpstr>Coaching Charge</vt:lpstr>
      <vt:lpstr>SN Teams</vt:lpstr>
      <vt:lpstr>Dream Team</vt:lpstr>
      <vt:lpstr>' Lean Staff Budget'!Print_Titles</vt:lpstr>
      <vt:lpstr>'100% Target'!Print_Titles</vt:lpstr>
      <vt:lpstr>'2021 Forecast - HB no Summits b'!Print_Titles</vt:lpstr>
      <vt:lpstr>'2021 Forecast - No HB or Summit'!Print_Titles</vt:lpstr>
      <vt:lpstr>'2021 Forecast - Revised'!Print_Titles</vt:lpstr>
      <vt:lpstr>'2022 Full Staff'!Print_Titles</vt:lpstr>
      <vt:lpstr>'50% Target'!Print_Titles</vt:lpstr>
      <vt:lpstr>'75% Target'!Print_Titles</vt:lpstr>
      <vt:lpstr>'Annual Budget)'!Print_Titles</vt:lpstr>
      <vt:lpstr>'Annual Forecast'!Print_Titles</vt:lpstr>
      <vt:lpstr>'Full Staff Budget'!Print_Titles</vt:lpstr>
      <vt:lpstr>Target!Print_Titles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Bill R Woolsey</cp:lastModifiedBy>
  <cp:revision/>
  <dcterms:created xsi:type="dcterms:W3CDTF">2016-09-27T16:09:28Z</dcterms:created>
  <dcterms:modified xsi:type="dcterms:W3CDTF">2021-05-25T20:08:40Z</dcterms:modified>
  <cp:category/>
  <cp:contentStatus/>
</cp:coreProperties>
</file>